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95" windowHeight="9960" activeTab="0"/>
  </bookViews>
  <sheets>
    <sheet name="Sheet1" sheetId="1" r:id="rId1"/>
  </sheets>
  <definedNames>
    <definedName name="_xlnm.Print_Area" localSheetId="0">'Sheet1'!$A$1:$M$48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<sst xmlns="http://schemas.openxmlformats.org/spreadsheetml/2006/main" count="45" uniqueCount="21">
  <si>
    <t>acceptate in MDL</t>
  </si>
  <si>
    <t>lunii gestionare</t>
  </si>
  <si>
    <t>- depozitele bancilor</t>
  </si>
  <si>
    <t>Informatia privind depozitele</t>
  </si>
  <si>
    <t>la situatia   31.05.2018</t>
  </si>
  <si>
    <t>acceptate in valuta straina **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</si>
  <si>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</si>
  <si>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</si>
  <si>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</si>
  <si>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</si>
  <si>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</si>
  <si>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</si>
  <si>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</si>
  <si>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</si>
  <si>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</si>
  <si>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Rata medie a dobanzii aferenta soldurilor depozitelor ***, % la sfirsitul</t>
  </si>
  <si>
    <t>A</t>
  </si>
  <si>
    <t>Total depozite:</t>
  </si>
  <si>
    <t>anului precedent celui gestionar</t>
  </si>
  <si>
    <t>Tipul de depozit</t>
  </si>
  <si>
    <t>Depozite la vedere cu dobanda: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</si>
</sst>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0" fontId="4" fillId="0" borderId="28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27" xfId="0" applyNumberFormat="1" applyFont="1" applyFill="1" applyBorder="1" applyAlignment="1" applyProtection="1">
      <alignment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31</xdr:row>
      <xdr:rowOff>57150</xdr:rowOff>
    </xdr:from>
    <xdr:to>
      <xdr:col>11</xdr:col>
      <xdr:colOff>76200</xdr:colOff>
      <xdr:row>46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81675"/>
          <a:ext cx="10039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93" zoomScaleSheetLayoutView="93" zoomScalePageLayoutView="0" workbookViewId="0" topLeftCell="A1">
      <selection activeCell="L68" sqref="L68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G1" s="2"/>
      <c r="H1" s="2"/>
      <c r="J1" s="2"/>
      <c r="K1" s="26"/>
      <c r="L1" s="2"/>
      <c r="M1" s="2"/>
    </row>
    <row r="2" spans="1:13" ht="12.75">
      <c r="A2" s="2"/>
      <c r="B2" s="2"/>
      <c r="C2" s="2"/>
      <c r="F2" s="2"/>
      <c r="G2" s="2"/>
      <c r="H2" s="2"/>
      <c r="J2" s="2"/>
      <c r="L2" s="2"/>
      <c r="M2" s="2"/>
    </row>
    <row r="3" spans="1:13" ht="12.75">
      <c r="A3" s="8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2.75">
      <c r="A4" s="82" t="s">
        <v>8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ht="12.75">
      <c r="A5" s="2"/>
    </row>
    <row r="6" spans="1:13" ht="12.75">
      <c r="A6" s="82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ht="12.75">
      <c r="A7" s="2"/>
    </row>
    <row r="8" spans="1:13" ht="42.75" customHeight="1">
      <c r="A8" s="83" t="s">
        <v>19</v>
      </c>
      <c r="B8" s="77" t="s">
        <v>14</v>
      </c>
      <c r="C8" s="77"/>
      <c r="D8" s="77"/>
      <c r="E8" s="77"/>
      <c r="F8" s="77"/>
      <c r="G8" s="78"/>
      <c r="H8" s="77" t="s">
        <v>15</v>
      </c>
      <c r="I8" s="77"/>
      <c r="J8" s="77"/>
      <c r="K8" s="77"/>
      <c r="L8" s="77"/>
      <c r="M8" s="77"/>
    </row>
    <row r="9" spans="1:13" ht="12.75">
      <c r="A9" s="83"/>
      <c r="B9" s="85" t="s">
        <v>1</v>
      </c>
      <c r="C9" s="86"/>
      <c r="D9" s="76" t="s">
        <v>11</v>
      </c>
      <c r="E9" s="76"/>
      <c r="F9" s="73" t="s">
        <v>18</v>
      </c>
      <c r="G9" s="74"/>
      <c r="H9" s="75" t="s">
        <v>1</v>
      </c>
      <c r="I9" s="75"/>
      <c r="J9" s="81" t="s">
        <v>11</v>
      </c>
      <c r="K9" s="81"/>
      <c r="L9" s="79" t="s">
        <v>18</v>
      </c>
      <c r="M9" s="80"/>
    </row>
    <row r="10" spans="1:13" ht="38.25">
      <c r="A10" s="84"/>
      <c r="B10" s="3" t="s">
        <v>0</v>
      </c>
      <c r="C10" s="4" t="s">
        <v>5</v>
      </c>
      <c r="D10" s="5" t="s">
        <v>0</v>
      </c>
      <c r="E10" s="6" t="s">
        <v>5</v>
      </c>
      <c r="F10" s="5" t="s">
        <v>0</v>
      </c>
      <c r="G10" s="7" t="s">
        <v>5</v>
      </c>
      <c r="H10" s="8" t="s">
        <v>0</v>
      </c>
      <c r="I10" s="9" t="s">
        <v>7</v>
      </c>
      <c r="J10" s="10" t="s">
        <v>0</v>
      </c>
      <c r="K10" s="10" t="s">
        <v>7</v>
      </c>
      <c r="L10" s="11" t="s">
        <v>0</v>
      </c>
      <c r="M10" s="12" t="s">
        <v>7</v>
      </c>
    </row>
    <row r="11" spans="1:13" ht="12.75">
      <c r="A11" s="13" t="s">
        <v>16</v>
      </c>
      <c r="B11" s="14">
        <v>1</v>
      </c>
      <c r="C11" s="14">
        <v>2</v>
      </c>
      <c r="D11" s="14">
        <v>3</v>
      </c>
      <c r="E11" s="14">
        <v>4</v>
      </c>
      <c r="F11" s="14">
        <v>5</v>
      </c>
      <c r="G11" s="14">
        <v>6</v>
      </c>
      <c r="H11" s="15">
        <v>7</v>
      </c>
      <c r="I11" s="15">
        <v>8</v>
      </c>
      <c r="J11" s="15">
        <v>9</v>
      </c>
      <c r="K11" s="15">
        <v>10</v>
      </c>
      <c r="L11" s="15">
        <v>11</v>
      </c>
      <c r="M11" s="16">
        <v>12</v>
      </c>
    </row>
    <row r="12" spans="1:13" ht="12.75">
      <c r="A12" s="17" t="s">
        <v>9</v>
      </c>
      <c r="B12" s="27"/>
      <c r="C12" s="28"/>
      <c r="D12" s="18"/>
      <c r="E12" s="19"/>
      <c r="F12" s="19"/>
      <c r="G12" s="19"/>
      <c r="H12" s="19"/>
      <c r="I12" s="19"/>
      <c r="J12" s="19"/>
      <c r="K12" s="19"/>
      <c r="L12" s="20"/>
      <c r="M12" s="21"/>
    </row>
    <row r="13" spans="1:13" ht="12.75">
      <c r="A13" s="22" t="s">
        <v>12</v>
      </c>
      <c r="B13" s="47">
        <f>(326039727.08+1230130.5)/1000</f>
        <v>327270</v>
      </c>
      <c r="C13" s="48">
        <f>(994116253.63+0)/1000</f>
        <v>994116</v>
      </c>
      <c r="D13" s="47">
        <f>(330375552.36+1833935.29)/1000</f>
        <v>332209</v>
      </c>
      <c r="E13" s="48">
        <f>(973505171.91+0)/1000</f>
        <v>973505</v>
      </c>
      <c r="F13" s="47">
        <f>(323241555.27+1219827.33)/1000</f>
        <v>324461</v>
      </c>
      <c r="G13" s="49">
        <f>(893779644.37+0)/1000</f>
        <v>893780</v>
      </c>
      <c r="H13" s="32">
        <v>0</v>
      </c>
      <c r="I13" s="32">
        <v>0</v>
      </c>
      <c r="J13" s="32">
        <v>0</v>
      </c>
      <c r="K13" s="35">
        <v>0</v>
      </c>
      <c r="L13" s="32">
        <v>0</v>
      </c>
      <c r="M13" s="36">
        <v>0</v>
      </c>
    </row>
    <row r="14" spans="1:13" ht="12.75">
      <c r="A14" s="22" t="s">
        <v>6</v>
      </c>
      <c r="B14" s="50">
        <f>(1754941809.59+0)/1000</f>
        <v>1754942</v>
      </c>
      <c r="C14" s="51">
        <f>(1118516105.64+0)/1000</f>
        <v>1118516</v>
      </c>
      <c r="D14" s="50">
        <f>(1772895926.51+0)/1000</f>
        <v>1772896</v>
      </c>
      <c r="E14" s="51">
        <f>(1183945067.82+0)/1000</f>
        <v>1183945</v>
      </c>
      <c r="F14" s="50">
        <f>(1929804826.6+0)/1000</f>
        <v>1929805</v>
      </c>
      <c r="G14" s="52">
        <f>(1411788062.64+0)/1000</f>
        <v>1411788</v>
      </c>
      <c r="H14" s="32">
        <v>0</v>
      </c>
      <c r="I14" s="32">
        <v>0</v>
      </c>
      <c r="J14" s="32">
        <v>0</v>
      </c>
      <c r="K14" s="35">
        <v>0</v>
      </c>
      <c r="L14" s="32">
        <v>0</v>
      </c>
      <c r="M14" s="36">
        <v>0</v>
      </c>
    </row>
    <row r="15" spans="1:13" ht="12.75">
      <c r="A15" s="22" t="s">
        <v>2</v>
      </c>
      <c r="B15" s="53">
        <f>12844998.38/1000</f>
        <v>12845</v>
      </c>
      <c r="C15" s="48">
        <f>2827873.66/1000</f>
        <v>2828</v>
      </c>
      <c r="D15" s="53">
        <f>28042354.53/1000</f>
        <v>28042</v>
      </c>
      <c r="E15" s="48">
        <f>1429755.83/1000</f>
        <v>1430</v>
      </c>
      <c r="F15" s="53">
        <f>44771067.54/1000</f>
        <v>44771</v>
      </c>
      <c r="G15" s="49">
        <f>2475709.16/1000</f>
        <v>2476</v>
      </c>
      <c r="H15" s="32">
        <v>0</v>
      </c>
      <c r="I15" s="32">
        <v>0</v>
      </c>
      <c r="J15" s="32">
        <v>0</v>
      </c>
      <c r="K15" s="35">
        <v>0</v>
      </c>
      <c r="L15" s="32">
        <v>0</v>
      </c>
      <c r="M15" s="36">
        <v>0</v>
      </c>
    </row>
    <row r="16" spans="1:13" ht="12.75">
      <c r="A16" s="29" t="s">
        <v>20</v>
      </c>
      <c r="B16" s="50"/>
      <c r="C16" s="54"/>
      <c r="D16" s="50"/>
      <c r="E16" s="54"/>
      <c r="F16" s="50"/>
      <c r="G16" s="55"/>
      <c r="H16" s="33"/>
      <c r="I16" s="33"/>
      <c r="J16" s="33"/>
      <c r="K16" s="37"/>
      <c r="L16" s="33"/>
      <c r="M16" s="38"/>
    </row>
    <row r="17" spans="1:13" ht="12.75">
      <c r="A17" s="22" t="s">
        <v>12</v>
      </c>
      <c r="B17" s="53">
        <f>(1116788805.86+0)/1000</f>
        <v>1116789</v>
      </c>
      <c r="C17" s="53">
        <f>(14466825.07+0)/1000</f>
        <v>14467</v>
      </c>
      <c r="D17" s="53">
        <f>(1148118817.92+0)/1000</f>
        <v>1148119</v>
      </c>
      <c r="E17" s="53">
        <f>(15288104.76+0)/1000</f>
        <v>15288</v>
      </c>
      <c r="F17" s="53">
        <f>(1100947041.18+0)/1000</f>
        <v>1100947</v>
      </c>
      <c r="G17" s="56">
        <f>(15041756.99+0)/1000</f>
        <v>15042</v>
      </c>
      <c r="H17" s="32">
        <v>1.11</v>
      </c>
      <c r="I17" s="32">
        <v>2</v>
      </c>
      <c r="J17" s="32">
        <v>1.12</v>
      </c>
      <c r="K17" s="35">
        <v>2</v>
      </c>
      <c r="L17" s="32">
        <v>2.05</v>
      </c>
      <c r="M17" s="36">
        <v>2</v>
      </c>
    </row>
    <row r="18" spans="1:13" ht="12.75">
      <c r="A18" s="22" t="s">
        <v>6</v>
      </c>
      <c r="B18" s="50">
        <f>(458760433.92+0)/1000</f>
        <v>458760</v>
      </c>
      <c r="C18" s="57">
        <f>(44363391.57+0)/1000</f>
        <v>44363</v>
      </c>
      <c r="D18" s="50">
        <f>(273589829.67+0)/1000</f>
        <v>273590</v>
      </c>
      <c r="E18" s="57">
        <f>(76234579.81+0)/1000</f>
        <v>76235</v>
      </c>
      <c r="F18" s="50">
        <f>(399224152.08+0)/1000</f>
        <v>399224</v>
      </c>
      <c r="G18" s="58">
        <f>(40542694.56+0)/1000</f>
        <v>40543</v>
      </c>
      <c r="H18" s="32">
        <v>1.27</v>
      </c>
      <c r="I18" s="32">
        <v>0.41</v>
      </c>
      <c r="J18" s="32">
        <v>1.43</v>
      </c>
      <c r="K18" s="35">
        <v>0.29</v>
      </c>
      <c r="L18" s="34">
        <v>1.05</v>
      </c>
      <c r="M18" s="36">
        <v>0.54</v>
      </c>
    </row>
    <row r="19" spans="1:13" ht="12.75">
      <c r="A19" s="22" t="s">
        <v>2</v>
      </c>
      <c r="B19" s="53">
        <f aca="true" t="shared" si="0" ref="B19:G19">0/1000</f>
        <v>0</v>
      </c>
      <c r="C19" s="48">
        <f t="shared" si="0"/>
        <v>0</v>
      </c>
      <c r="D19" s="53">
        <f t="shared" si="0"/>
        <v>0</v>
      </c>
      <c r="E19" s="48">
        <f t="shared" si="0"/>
        <v>0</v>
      </c>
      <c r="F19" s="53">
        <f t="shared" si="0"/>
        <v>0</v>
      </c>
      <c r="G19" s="49">
        <f t="shared" si="0"/>
        <v>0</v>
      </c>
      <c r="H19" s="32">
        <v>0</v>
      </c>
      <c r="I19" s="32">
        <v>0</v>
      </c>
      <c r="J19" s="32">
        <v>0</v>
      </c>
      <c r="K19" s="35">
        <v>0</v>
      </c>
      <c r="L19" s="32">
        <v>0</v>
      </c>
      <c r="M19" s="36">
        <v>0</v>
      </c>
    </row>
    <row r="20" spans="1:13" ht="12.75">
      <c r="A20" s="29" t="s">
        <v>10</v>
      </c>
      <c r="B20" s="50"/>
      <c r="C20" s="51"/>
      <c r="D20" s="50"/>
      <c r="E20" s="51"/>
      <c r="F20" s="50"/>
      <c r="G20" s="52"/>
      <c r="H20" s="33"/>
      <c r="I20" s="33"/>
      <c r="J20" s="33"/>
      <c r="K20" s="37"/>
      <c r="L20" s="33"/>
      <c r="M20" s="38"/>
    </row>
    <row r="21" spans="1:13" ht="12.75">
      <c r="A21" s="22" t="s">
        <v>12</v>
      </c>
      <c r="B21" s="53">
        <f>(504061.5+14973.96+0)/1000</f>
        <v>519</v>
      </c>
      <c r="C21" s="48">
        <f>(181533.66+7890649.69)/1000</f>
        <v>8072</v>
      </c>
      <c r="D21" s="53">
        <f>(500051.5+14973.96)/1000</f>
        <v>515</v>
      </c>
      <c r="E21" s="48">
        <f>(176959.4+7936177.60999998)/1000</f>
        <v>8113</v>
      </c>
      <c r="F21" s="53">
        <f>(495007.5+30747.53)/1000</f>
        <v>526</v>
      </c>
      <c r="G21" s="49">
        <f>(183101.24+4046.87)/1000</f>
        <v>187</v>
      </c>
      <c r="H21" s="32">
        <v>0</v>
      </c>
      <c r="I21" s="32">
        <v>0</v>
      </c>
      <c r="J21" s="32">
        <v>0</v>
      </c>
      <c r="K21" s="35">
        <v>0</v>
      </c>
      <c r="L21" s="32">
        <v>0</v>
      </c>
      <c r="M21" s="36">
        <v>0</v>
      </c>
    </row>
    <row r="22" spans="1:13" ht="12.75">
      <c r="A22" s="22" t="s">
        <v>6</v>
      </c>
      <c r="B22" s="50">
        <f>13407573.27/1000</f>
        <v>13408</v>
      </c>
      <c r="C22" s="54">
        <f>19668688.06/1000</f>
        <v>19669</v>
      </c>
      <c r="D22" s="50">
        <f>15200357.57/1000</f>
        <v>15200</v>
      </c>
      <c r="E22" s="54">
        <f>19524271.24/1000</f>
        <v>19524</v>
      </c>
      <c r="F22" s="50">
        <f>16403646.64/1000</f>
        <v>16404</v>
      </c>
      <c r="G22" s="55">
        <f>31795827.87/1000</f>
        <v>31796</v>
      </c>
      <c r="H22" s="32">
        <v>0</v>
      </c>
      <c r="I22" s="32">
        <v>0</v>
      </c>
      <c r="J22" s="32">
        <v>0</v>
      </c>
      <c r="K22" s="35">
        <v>0</v>
      </c>
      <c r="L22" s="32">
        <v>0</v>
      </c>
      <c r="M22" s="36">
        <v>0</v>
      </c>
    </row>
    <row r="23" spans="1:13" ht="12.75">
      <c r="A23" s="22" t="s">
        <v>2</v>
      </c>
      <c r="B23" s="56">
        <f aca="true" t="shared" si="1" ref="B23:G23">0/1000</f>
        <v>0</v>
      </c>
      <c r="C23" s="51">
        <f t="shared" si="1"/>
        <v>0</v>
      </c>
      <c r="D23" s="56">
        <f t="shared" si="1"/>
        <v>0</v>
      </c>
      <c r="E23" s="51">
        <f t="shared" si="1"/>
        <v>0</v>
      </c>
      <c r="F23" s="56">
        <f t="shared" si="1"/>
        <v>0</v>
      </c>
      <c r="G23" s="52">
        <f t="shared" si="1"/>
        <v>0</v>
      </c>
      <c r="H23" s="32">
        <v>0</v>
      </c>
      <c r="I23" s="32">
        <v>0</v>
      </c>
      <c r="J23" s="32">
        <v>0</v>
      </c>
      <c r="K23" s="35">
        <v>0</v>
      </c>
      <c r="L23" s="32">
        <v>0</v>
      </c>
      <c r="M23" s="36">
        <v>0</v>
      </c>
    </row>
    <row r="24" spans="1:13" ht="12.75">
      <c r="A24" s="30" t="s">
        <v>13</v>
      </c>
      <c r="B24" s="50"/>
      <c r="C24" s="59"/>
      <c r="D24" s="50"/>
      <c r="E24" s="59"/>
      <c r="F24" s="50"/>
      <c r="G24" s="60"/>
      <c r="H24" s="33"/>
      <c r="I24" s="33"/>
      <c r="J24" s="33"/>
      <c r="K24" s="37"/>
      <c r="L24" s="33"/>
      <c r="M24" s="38"/>
    </row>
    <row r="25" spans="1:13" ht="12.75">
      <c r="A25" s="22" t="s">
        <v>12</v>
      </c>
      <c r="B25" s="53">
        <f>(4620375007.26001+605052609.930002)/1000</f>
        <v>5225428</v>
      </c>
      <c r="C25" s="48">
        <f>(4065139219.49001+892463661.029999)/1000</f>
        <v>4957603</v>
      </c>
      <c r="D25" s="53">
        <f>(4583570409.47+669678047.080001)/1000</f>
        <v>5253248</v>
      </c>
      <c r="E25" s="48">
        <f>(4073570622.37+899300553.759999)/1000</f>
        <v>4972871</v>
      </c>
      <c r="F25" s="53">
        <f>(4253825571.18+855579194.320001)/1000</f>
        <v>5109405</v>
      </c>
      <c r="G25" s="49">
        <f>(4125175812.11999+952740353.220001)/1000</f>
        <v>5077916</v>
      </c>
      <c r="H25" s="32">
        <v>4.78</v>
      </c>
      <c r="I25" s="32">
        <v>0.89</v>
      </c>
      <c r="J25" s="32">
        <v>4.76</v>
      </c>
      <c r="K25" s="35">
        <v>0.88</v>
      </c>
      <c r="L25" s="32">
        <v>5.44</v>
      </c>
      <c r="M25" s="36">
        <v>1.08</v>
      </c>
    </row>
    <row r="26" spans="1:13" ht="12.75">
      <c r="A26" s="31" t="s">
        <v>6</v>
      </c>
      <c r="B26" s="50">
        <f>598750970.92/1000</f>
        <v>598751</v>
      </c>
      <c r="C26" s="54">
        <f>648909188.91/1000</f>
        <v>648909</v>
      </c>
      <c r="D26" s="50">
        <f>1048983308.17/1000</f>
        <v>1048983</v>
      </c>
      <c r="E26" s="54">
        <f>667203347.68/1000</f>
        <v>667203</v>
      </c>
      <c r="F26" s="50">
        <f>501042099.26/1000</f>
        <v>501042</v>
      </c>
      <c r="G26" s="55">
        <f>729674104.17/1000</f>
        <v>729674</v>
      </c>
      <c r="H26" s="32">
        <v>4.47</v>
      </c>
      <c r="I26" s="32">
        <v>1.77</v>
      </c>
      <c r="J26" s="32">
        <v>3.95</v>
      </c>
      <c r="K26" s="35">
        <v>1.78</v>
      </c>
      <c r="L26" s="32">
        <v>5.48</v>
      </c>
      <c r="M26" s="36">
        <v>1.65</v>
      </c>
    </row>
    <row r="27" spans="1:13" ht="12.75">
      <c r="A27" s="22" t="s">
        <v>2</v>
      </c>
      <c r="B27" s="53">
        <f aca="true" t="shared" si="2" ref="B27:G27">0/1000</f>
        <v>0</v>
      </c>
      <c r="C27" s="48">
        <f t="shared" si="2"/>
        <v>0</v>
      </c>
      <c r="D27" s="53">
        <f t="shared" si="2"/>
        <v>0</v>
      </c>
      <c r="E27" s="48">
        <f t="shared" si="2"/>
        <v>0</v>
      </c>
      <c r="F27" s="53">
        <f t="shared" si="2"/>
        <v>0</v>
      </c>
      <c r="G27" s="49">
        <f t="shared" si="2"/>
        <v>0</v>
      </c>
      <c r="H27" s="32">
        <v>0</v>
      </c>
      <c r="I27" s="32">
        <v>0</v>
      </c>
      <c r="J27" s="32">
        <v>0</v>
      </c>
      <c r="K27" s="35">
        <v>0</v>
      </c>
      <c r="L27" s="32">
        <v>0</v>
      </c>
      <c r="M27" s="36">
        <v>0</v>
      </c>
    </row>
    <row r="28" spans="1:13" ht="12.75">
      <c r="A28" s="29" t="s">
        <v>17</v>
      </c>
      <c r="B28" s="50"/>
      <c r="C28" s="59"/>
      <c r="D28" s="61"/>
      <c r="E28" s="62"/>
      <c r="F28" s="62"/>
      <c r="G28" s="63"/>
      <c r="H28" s="34"/>
      <c r="I28" s="34"/>
      <c r="J28" s="34"/>
      <c r="K28" s="39"/>
      <c r="L28" s="34"/>
      <c r="M28" s="38"/>
    </row>
    <row r="29" spans="1:13" ht="12.75">
      <c r="A29" s="22" t="s">
        <v>12</v>
      </c>
      <c r="B29" s="53">
        <f aca="true" t="shared" si="3" ref="B29:G31">B13+B17+B21+B25</f>
        <v>6670006</v>
      </c>
      <c r="C29" s="48">
        <f t="shared" si="3"/>
        <v>5974258</v>
      </c>
      <c r="D29" s="64">
        <f t="shared" si="3"/>
        <v>6734091</v>
      </c>
      <c r="E29" s="64">
        <f t="shared" si="3"/>
        <v>5969777</v>
      </c>
      <c r="F29" s="64">
        <f t="shared" si="3"/>
        <v>6535339</v>
      </c>
      <c r="G29" s="65">
        <f t="shared" si="3"/>
        <v>5986925</v>
      </c>
      <c r="H29" s="32">
        <f aca="true" t="shared" si="4" ref="H29:M31">IF(B29=0,0,(B13*H13+B17*H17+B21*H21+B25*H25)/B29)</f>
        <v>3.93</v>
      </c>
      <c r="I29" s="32">
        <f t="shared" si="4"/>
        <v>0.74</v>
      </c>
      <c r="J29" s="32">
        <f t="shared" si="4"/>
        <v>3.9</v>
      </c>
      <c r="K29" s="35">
        <f t="shared" si="4"/>
        <v>0.74</v>
      </c>
      <c r="L29" s="32">
        <f t="shared" si="4"/>
        <v>4.6</v>
      </c>
      <c r="M29" s="36">
        <f t="shared" si="4"/>
        <v>0.92</v>
      </c>
    </row>
    <row r="30" spans="1:13" ht="12.75">
      <c r="A30" s="22" t="s">
        <v>6</v>
      </c>
      <c r="B30" s="50">
        <f t="shared" si="3"/>
        <v>2825861</v>
      </c>
      <c r="C30" s="66">
        <f t="shared" si="3"/>
        <v>1831457</v>
      </c>
      <c r="D30" s="67">
        <f t="shared" si="3"/>
        <v>3110669</v>
      </c>
      <c r="E30" s="67">
        <f t="shared" si="3"/>
        <v>1946907</v>
      </c>
      <c r="F30" s="67">
        <f t="shared" si="3"/>
        <v>2846475</v>
      </c>
      <c r="G30" s="68">
        <f t="shared" si="3"/>
        <v>2213801</v>
      </c>
      <c r="H30" s="40">
        <f t="shared" si="4"/>
        <v>1.15</v>
      </c>
      <c r="I30" s="40">
        <f t="shared" si="4"/>
        <v>0.64</v>
      </c>
      <c r="J30" s="40">
        <f t="shared" si="4"/>
        <v>1.46</v>
      </c>
      <c r="K30" s="41">
        <f t="shared" si="4"/>
        <v>0.62</v>
      </c>
      <c r="L30" s="40">
        <f t="shared" si="4"/>
        <v>1.11</v>
      </c>
      <c r="M30" s="42">
        <f t="shared" si="4"/>
        <v>0.55</v>
      </c>
    </row>
    <row r="31" spans="1:13" ht="12.75">
      <c r="A31" s="23" t="s">
        <v>2</v>
      </c>
      <c r="B31" s="69">
        <f t="shared" si="3"/>
        <v>12845</v>
      </c>
      <c r="C31" s="70">
        <f t="shared" si="3"/>
        <v>2828</v>
      </c>
      <c r="D31" s="70">
        <f t="shared" si="3"/>
        <v>28042</v>
      </c>
      <c r="E31" s="71">
        <f t="shared" si="3"/>
        <v>1430</v>
      </c>
      <c r="F31" s="72">
        <f t="shared" si="3"/>
        <v>44771</v>
      </c>
      <c r="G31" s="72">
        <f t="shared" si="3"/>
        <v>2476</v>
      </c>
      <c r="H31" s="43">
        <f t="shared" si="4"/>
        <v>0</v>
      </c>
      <c r="I31" s="43">
        <f t="shared" si="4"/>
        <v>0</v>
      </c>
      <c r="J31" s="43">
        <f t="shared" si="4"/>
        <v>0</v>
      </c>
      <c r="K31" s="44">
        <f t="shared" si="4"/>
        <v>0</v>
      </c>
      <c r="L31" s="43">
        <f t="shared" si="4"/>
        <v>0</v>
      </c>
      <c r="M31" s="45">
        <f t="shared" si="4"/>
        <v>0</v>
      </c>
    </row>
    <row r="32" spans="1:3" ht="12.75">
      <c r="A32" s="2"/>
      <c r="C32" s="24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spans="1:2" ht="12.75">
      <c r="A42" s="2"/>
      <c r="B42" s="46"/>
    </row>
    <row r="43" ht="12.75">
      <c r="A43" s="2"/>
    </row>
    <row r="44" ht="12.75">
      <c r="A44" s="2"/>
    </row>
    <row r="45" ht="12.75"/>
    <row r="46" ht="12.75"/>
  </sheetData>
  <sheetProtection/>
  <mergeCells count="12">
    <mergeCell ref="A3:M3"/>
    <mergeCell ref="A4:M4"/>
    <mergeCell ref="A6:M6"/>
    <mergeCell ref="A8:A10"/>
    <mergeCell ref="B9:C9"/>
    <mergeCell ref="F9:G9"/>
    <mergeCell ref="H9:I9"/>
    <mergeCell ref="D9:E9"/>
    <mergeCell ref="B8:G8"/>
    <mergeCell ref="L9:M9"/>
    <mergeCell ref="H8:M8"/>
    <mergeCell ref="J9:K9"/>
  </mergeCells>
  <printOptions horizontalCentered="1"/>
  <pageMargins left="0" right="0" top="0" bottom="0" header="0.5118110236220472" footer="0.5118110236220472"/>
  <pageSetup horizontalDpi="600" verticalDpi="600" orientation="landscape" paperSize="9" scale="8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I. Solomon</dc:creator>
  <cp:keywords/>
  <dc:description/>
  <cp:lastModifiedBy>user</cp:lastModifiedBy>
  <cp:lastPrinted>2018-06-23T08:22:25Z</cp:lastPrinted>
  <dcterms:modified xsi:type="dcterms:W3CDTF">2018-06-23T08:22:34Z</dcterms:modified>
  <cp:category/>
  <cp:version/>
  <cp:contentType/>
  <cp:contentStatus/>
</cp:coreProperties>
</file>