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2'!$B$2:$P$44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<sst xmlns="http://schemas.openxmlformats.org/spreadsheetml/2006/main" count="52" uniqueCount="40">
  <si>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</si>
  <si>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</si>
  <si>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</si>
  <si>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</si>
  <si>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</si>
  <si>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</si>
  <si>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</si>
  <si>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</si>
  <si>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</si>
  <si>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</si>
  <si>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</si>
  <si>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</si>
  <si>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</si>
  <si>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</si>
  <si>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la situatia  30.12.2016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</si>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</sst>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" fontId="4" fillId="0" borderId="30" xfId="0" applyNumberFormat="1" applyFont="1" applyFill="1" applyBorder="1" applyAlignment="1" applyProtection="1">
      <alignment/>
      <protection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152400</xdr:rowOff>
    </xdr:from>
    <xdr:to>
      <xdr:col>13</xdr:col>
      <xdr:colOff>28575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543675"/>
          <a:ext cx="10058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0">
      <selection activeCell="Q46" sqref="A33:Q46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30"/>
      <c r="O1" s="2"/>
      <c r="P1" s="2"/>
      <c r="S1" s="2"/>
    </row>
    <row r="2" spans="1:19" ht="12.75">
      <c r="A2" s="2"/>
      <c r="B2" s="2"/>
      <c r="C2" s="2"/>
      <c r="D2" s="29"/>
      <c r="E2" s="2"/>
      <c r="J2" s="2"/>
      <c r="K2" s="2"/>
      <c r="N2" s="2"/>
      <c r="P2" s="28" t="s">
        <v>18</v>
      </c>
      <c r="S2" s="2"/>
    </row>
    <row r="3" spans="1:19" ht="12.75">
      <c r="A3" s="2"/>
      <c r="B3" s="53" t="s">
        <v>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  <c r="O3" s="54"/>
      <c r="P3" s="54"/>
      <c r="S3" s="2"/>
    </row>
    <row r="4" spans="1:19" ht="12.75">
      <c r="A4" s="2"/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 t="s">
        <v>3</v>
      </c>
      <c r="N4" s="54"/>
      <c r="O4" s="54"/>
      <c r="P4" s="54"/>
      <c r="S4" s="2"/>
    </row>
    <row r="5" spans="1:19" ht="12.75">
      <c r="A5" s="2"/>
      <c r="B5" s="2"/>
      <c r="M5" s="54" t="s">
        <v>16</v>
      </c>
      <c r="N5" s="54"/>
      <c r="O5" s="54"/>
      <c r="P5" s="54"/>
      <c r="S5" s="2"/>
    </row>
    <row r="6" spans="1:19" ht="12.75">
      <c r="A6" s="2"/>
      <c r="B6" s="53" t="s">
        <v>14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9" t="s">
        <v>19</v>
      </c>
      <c r="C8" s="64" t="s">
        <v>36</v>
      </c>
      <c r="D8" s="64"/>
      <c r="E8" s="47" t="s">
        <v>11</v>
      </c>
      <c r="F8" s="47"/>
      <c r="G8" s="47"/>
      <c r="H8" s="47"/>
      <c r="I8" s="47"/>
      <c r="J8" s="47"/>
      <c r="K8" s="48" t="s">
        <v>35</v>
      </c>
      <c r="L8" s="48"/>
      <c r="M8" s="48"/>
      <c r="N8" s="48"/>
      <c r="O8" s="48"/>
      <c r="P8" s="48"/>
      <c r="S8" s="2"/>
    </row>
    <row r="9" spans="1:19" ht="12.75">
      <c r="A9" s="2"/>
      <c r="B9" s="59"/>
      <c r="C9" s="62" t="s">
        <v>21</v>
      </c>
      <c r="D9" s="49" t="s">
        <v>37</v>
      </c>
      <c r="E9" s="51" t="s">
        <v>6</v>
      </c>
      <c r="F9" s="52"/>
      <c r="G9" s="55" t="s">
        <v>22</v>
      </c>
      <c r="H9" s="56"/>
      <c r="I9" s="57" t="s">
        <v>34</v>
      </c>
      <c r="J9" s="56"/>
      <c r="K9" s="51" t="s">
        <v>6</v>
      </c>
      <c r="L9" s="52"/>
      <c r="M9" s="55" t="s">
        <v>22</v>
      </c>
      <c r="N9" s="49"/>
      <c r="O9" s="61" t="s">
        <v>34</v>
      </c>
      <c r="P9" s="61"/>
      <c r="S9" s="2"/>
    </row>
    <row r="10" spans="1:19" ht="38.25">
      <c r="A10" s="2"/>
      <c r="B10" s="60"/>
      <c r="C10" s="63"/>
      <c r="D10" s="50"/>
      <c r="E10" s="4" t="s">
        <v>25</v>
      </c>
      <c r="F10" s="5" t="s">
        <v>9</v>
      </c>
      <c r="G10" s="5" t="s">
        <v>25</v>
      </c>
      <c r="H10" s="5" t="s">
        <v>9</v>
      </c>
      <c r="I10" s="5" t="s">
        <v>25</v>
      </c>
      <c r="J10" s="5" t="s">
        <v>9</v>
      </c>
      <c r="K10" s="5" t="s">
        <v>25</v>
      </c>
      <c r="L10" s="5" t="s">
        <v>9</v>
      </c>
      <c r="M10" s="5" t="s">
        <v>25</v>
      </c>
      <c r="N10" s="5" t="s">
        <v>9</v>
      </c>
      <c r="O10" s="6" t="s">
        <v>25</v>
      </c>
      <c r="P10" s="7" t="s">
        <v>2</v>
      </c>
      <c r="S10" s="2"/>
    </row>
    <row r="11" spans="1:19" ht="12.75">
      <c r="A11" s="2"/>
      <c r="B11" s="8" t="s">
        <v>30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26</v>
      </c>
      <c r="C12" s="32">
        <f>22</f>
        <v>22</v>
      </c>
      <c r="D12" s="33">
        <f>0</f>
        <v>0</v>
      </c>
      <c r="E12" s="34">
        <f>483290076.38/1000</f>
        <v>483290.07638</v>
      </c>
      <c r="F12" s="34">
        <f>321026389.52/1000</f>
        <v>321026.38951999997</v>
      </c>
      <c r="G12" s="34">
        <f>511348193.18/1000</f>
        <v>511348.19318</v>
      </c>
      <c r="H12" s="34">
        <f>338690859.55/1000</f>
        <v>338690.85955</v>
      </c>
      <c r="I12" s="34">
        <f>644646385.28/1000</f>
        <v>644646.3852799999</v>
      </c>
      <c r="J12" s="35">
        <f>255135474.51/1000</f>
        <v>255135.47451</v>
      </c>
      <c r="K12" s="14">
        <v>11.9417641538994</v>
      </c>
      <c r="L12" s="14">
        <v>6.29329627118531</v>
      </c>
      <c r="M12" s="14">
        <v>12.3501552478293</v>
      </c>
      <c r="N12" s="14">
        <v>6.46826151368601</v>
      </c>
      <c r="O12" s="15">
        <v>13.9280183470177</v>
      </c>
      <c r="P12" s="16">
        <v>6.96352720538619</v>
      </c>
      <c r="S12" s="2"/>
    </row>
    <row r="13" spans="1:19" ht="12.75">
      <c r="A13" s="2"/>
      <c r="B13" s="17" t="s">
        <v>4</v>
      </c>
      <c r="C13" s="36">
        <f>3</f>
        <v>3</v>
      </c>
      <c r="D13" s="37">
        <f>2</f>
        <v>2</v>
      </c>
      <c r="E13" s="38">
        <f>587633906.66/1000</f>
        <v>587633.90666</v>
      </c>
      <c r="F13" s="38">
        <f>1137129088.26/1000</f>
        <v>1137129.08826</v>
      </c>
      <c r="G13" s="38">
        <f>606580442.69/1000</f>
        <v>606580.44269</v>
      </c>
      <c r="H13" s="38">
        <f>1217953098.08/1000</f>
        <v>1217953.09808</v>
      </c>
      <c r="I13" s="38">
        <f>608850641.74/1000</f>
        <v>608850.64174</v>
      </c>
      <c r="J13" s="39">
        <f>949622268.68/1000</f>
        <v>949622.26868</v>
      </c>
      <c r="K13" s="18">
        <v>11.189797008041</v>
      </c>
      <c r="L13" s="18">
        <v>5.3694768740257</v>
      </c>
      <c r="M13" s="18">
        <v>11.22882493837</v>
      </c>
      <c r="N13" s="18">
        <v>5.63958994001396</v>
      </c>
      <c r="O13" s="19">
        <v>14.0149362155044</v>
      </c>
      <c r="P13" s="20">
        <v>6.00813615162484</v>
      </c>
      <c r="S13" s="2"/>
    </row>
    <row r="14" spans="1:19" ht="12.75">
      <c r="A14" s="2"/>
      <c r="B14" s="17" t="s">
        <v>13</v>
      </c>
      <c r="C14" s="36">
        <f>8</f>
        <v>8</v>
      </c>
      <c r="D14" s="37">
        <f>0</f>
        <v>0</v>
      </c>
      <c r="E14" s="38">
        <f>109278565.61/1000</f>
        <v>109278.56561</v>
      </c>
      <c r="F14" s="38">
        <f>18067375.59/1000</f>
        <v>18067.37559</v>
      </c>
      <c r="G14" s="38">
        <f>109201391.81/1000</f>
        <v>109201.39181</v>
      </c>
      <c r="H14" s="38">
        <f>19878644.57/1000</f>
        <v>19878.64457</v>
      </c>
      <c r="I14" s="38">
        <f>150056069.24/1000</f>
        <v>150056.06924</v>
      </c>
      <c r="J14" s="39">
        <f>18777073.47/1000</f>
        <v>18777.07347</v>
      </c>
      <c r="K14" s="18">
        <v>14.1756530438321</v>
      </c>
      <c r="L14" s="18">
        <v>5.93088386575684</v>
      </c>
      <c r="M14" s="18">
        <v>13.2392393506802</v>
      </c>
      <c r="N14" s="18">
        <v>5.91808743071661</v>
      </c>
      <c r="O14" s="19">
        <v>14.4238678746027</v>
      </c>
      <c r="P14" s="20">
        <v>6.75573630729368</v>
      </c>
      <c r="S14" s="2"/>
    </row>
    <row r="15" spans="1:19" ht="12.75">
      <c r="A15" s="2"/>
      <c r="B15" s="17" t="s">
        <v>5</v>
      </c>
      <c r="C15" s="36">
        <f>1767</f>
        <v>1767</v>
      </c>
      <c r="D15" s="37">
        <f>0</f>
        <v>0</v>
      </c>
      <c r="E15" s="38">
        <f>1475204607.26/1000</f>
        <v>1475204.60726</v>
      </c>
      <c r="F15" s="38">
        <f>0/1000</f>
        <v>0</v>
      </c>
      <c r="G15" s="38">
        <f>1461927726.03/1000</f>
        <v>1461927.72603</v>
      </c>
      <c r="H15" s="38">
        <f>0/1000</f>
        <v>0</v>
      </c>
      <c r="I15" s="38">
        <f>1462586232.77/1000</f>
        <v>1462586.23277</v>
      </c>
      <c r="J15" s="39">
        <f>23698.91/1000</f>
        <v>23.69891</v>
      </c>
      <c r="K15" s="18">
        <v>12.8727605325927</v>
      </c>
      <c r="L15" s="18">
        <v>0</v>
      </c>
      <c r="M15" s="18">
        <v>13.1344876049303</v>
      </c>
      <c r="N15" s="18">
        <v>0</v>
      </c>
      <c r="O15" s="19">
        <v>13.2230856540077</v>
      </c>
      <c r="P15" s="20">
        <v>9.5</v>
      </c>
      <c r="S15" s="2"/>
    </row>
    <row r="16" spans="1:19" ht="12.75">
      <c r="A16" s="2"/>
      <c r="B16" s="17" t="s">
        <v>27</v>
      </c>
      <c r="C16" s="36">
        <f>2</f>
        <v>2</v>
      </c>
      <c r="D16" s="37">
        <f>1</f>
        <v>1</v>
      </c>
      <c r="E16" s="38">
        <f>204476186.77/1000</f>
        <v>204476.18677</v>
      </c>
      <c r="F16" s="38">
        <f>142686753.99/1000</f>
        <v>142686.75399</v>
      </c>
      <c r="G16" s="38">
        <f>259477934.78/1000</f>
        <v>259477.93478</v>
      </c>
      <c r="H16" s="38">
        <f>99709338.77/1000</f>
        <v>99709.33877</v>
      </c>
      <c r="I16" s="38">
        <f>184155657.77/1000</f>
        <v>184155.65777000002</v>
      </c>
      <c r="J16" s="39">
        <f>140603104.09/1000</f>
        <v>140603.10409</v>
      </c>
      <c r="K16" s="18">
        <v>17.690774691377</v>
      </c>
      <c r="L16" s="18">
        <v>6.06237235806853</v>
      </c>
      <c r="M16" s="18">
        <v>16.1801327762595</v>
      </c>
      <c r="N16" s="18">
        <v>6.27645809826886</v>
      </c>
      <c r="O16" s="19">
        <v>16.365486255405</v>
      </c>
      <c r="P16" s="20">
        <v>5.82782730217318</v>
      </c>
      <c r="S16" s="2"/>
    </row>
    <row r="17" spans="1:19" ht="12" customHeight="1">
      <c r="A17" s="2"/>
      <c r="B17" s="17" t="s">
        <v>7</v>
      </c>
      <c r="C17" s="36">
        <f>0</f>
        <v>0</v>
      </c>
      <c r="D17" s="37">
        <f>0</f>
        <v>0</v>
      </c>
      <c r="E17" s="38">
        <f aca="true" t="shared" si="0" ref="E17:J21">0/1000</f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9">
        <f t="shared" si="0"/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6">
        <f>0</f>
        <v>0</v>
      </c>
      <c r="D18" s="37">
        <f>0</f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9">
        <f t="shared" si="0"/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24</v>
      </c>
      <c r="C19" s="36">
        <f>0</f>
        <v>0</v>
      </c>
      <c r="D19" s="37">
        <f>0</f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9">
        <f t="shared" si="0"/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38</v>
      </c>
      <c r="C20" s="36">
        <f>0</f>
        <v>0</v>
      </c>
      <c r="D20" s="37">
        <f>0</f>
        <v>0</v>
      </c>
      <c r="E20" s="38">
        <f t="shared" si="0"/>
        <v>0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9">
        <f t="shared" si="0"/>
        <v>0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39</v>
      </c>
      <c r="C21" s="36">
        <f>0</f>
        <v>0</v>
      </c>
      <c r="D21" s="37">
        <f>0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  <c r="H21" s="38">
        <f t="shared" si="0"/>
        <v>0</v>
      </c>
      <c r="I21" s="38">
        <f t="shared" si="0"/>
        <v>0</v>
      </c>
      <c r="J21" s="39">
        <f t="shared" si="0"/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28</v>
      </c>
      <c r="C22" s="36">
        <f>0</f>
        <v>0</v>
      </c>
      <c r="D22" s="37">
        <f>0</f>
        <v>0</v>
      </c>
      <c r="E22" s="38">
        <f>3400000/1000</f>
        <v>3400</v>
      </c>
      <c r="F22" s="38">
        <f>0/1000</f>
        <v>0</v>
      </c>
      <c r="G22" s="38">
        <f>3400000/1000</f>
        <v>3400</v>
      </c>
      <c r="H22" s="38">
        <f>0/1000</f>
        <v>0</v>
      </c>
      <c r="I22" s="38">
        <f>6899998/1000</f>
        <v>6899.998</v>
      </c>
      <c r="J22" s="39">
        <f>0/1000</f>
        <v>0</v>
      </c>
      <c r="K22" s="18">
        <v>14</v>
      </c>
      <c r="L22" s="18">
        <v>0</v>
      </c>
      <c r="M22" s="18">
        <v>14</v>
      </c>
      <c r="N22" s="18">
        <v>0</v>
      </c>
      <c r="O22" s="19">
        <v>15</v>
      </c>
      <c r="P22" s="20">
        <v>0</v>
      </c>
      <c r="S22" s="2"/>
    </row>
    <row r="23" spans="1:19" ht="12.75">
      <c r="A23" s="2"/>
      <c r="B23" s="17" t="s">
        <v>23</v>
      </c>
      <c r="C23" s="36">
        <f>3</f>
        <v>3</v>
      </c>
      <c r="D23" s="37">
        <f>3</f>
        <v>3</v>
      </c>
      <c r="E23" s="38">
        <f>126931094.3/1000</f>
        <v>126931.0943</v>
      </c>
      <c r="F23" s="38">
        <f>774266193.33/1000</f>
        <v>774266.19333</v>
      </c>
      <c r="G23" s="38">
        <f>111417258.59/1000</f>
        <v>111417.25859</v>
      </c>
      <c r="H23" s="38">
        <f>800088179.74/1000</f>
        <v>800088.17974</v>
      </c>
      <c r="I23" s="38">
        <f>140084993.97/1000</f>
        <v>140084.99397</v>
      </c>
      <c r="J23" s="39">
        <f>815605077.48/1000</f>
        <v>815605.07748</v>
      </c>
      <c r="K23" s="18">
        <v>11.6021659966261</v>
      </c>
      <c r="L23" s="18">
        <v>6.44357344646549</v>
      </c>
      <c r="M23" s="18">
        <v>11.8116808580732</v>
      </c>
      <c r="N23" s="18">
        <v>6.44697214392108</v>
      </c>
      <c r="O23" s="19">
        <v>12.6894334814204</v>
      </c>
      <c r="P23" s="20">
        <v>7.16323843747229</v>
      </c>
      <c r="S23" s="2"/>
    </row>
    <row r="24" spans="1:19" ht="12.75">
      <c r="A24" s="2"/>
      <c r="B24" s="17" t="s">
        <v>10</v>
      </c>
      <c r="C24" s="36">
        <f>20</f>
        <v>20</v>
      </c>
      <c r="D24" s="37">
        <f>10</f>
        <v>10</v>
      </c>
      <c r="E24" s="38">
        <f>1114886004.65/1000</f>
        <v>1114886.00465</v>
      </c>
      <c r="F24" s="38">
        <f>1852519886.62/1000</f>
        <v>1852519.8866199998</v>
      </c>
      <c r="G24" s="38">
        <f>1153091519.6/1000</f>
        <v>1153091.5196</v>
      </c>
      <c r="H24" s="38">
        <f>1890493284.03/1000</f>
        <v>1890493.28403</v>
      </c>
      <c r="I24" s="38">
        <f>1643883298.93/1000</f>
        <v>1643883.29893</v>
      </c>
      <c r="J24" s="39">
        <f>1777719030.67/1000</f>
        <v>1777719.03067</v>
      </c>
      <c r="K24" s="18">
        <v>10.4733533806989</v>
      </c>
      <c r="L24" s="18">
        <v>5.7282213645346</v>
      </c>
      <c r="M24" s="18">
        <v>10.5033398258525</v>
      </c>
      <c r="N24" s="18">
        <v>5.82428153503484</v>
      </c>
      <c r="O24" s="19">
        <v>13.5741063662354</v>
      </c>
      <c r="P24" s="20">
        <v>6.57232210843743</v>
      </c>
      <c r="S24" s="2"/>
    </row>
    <row r="25" spans="1:19" ht="12.75">
      <c r="A25" s="2"/>
      <c r="B25" s="17" t="s">
        <v>29</v>
      </c>
      <c r="C25" s="36">
        <f>0+0</f>
        <v>0</v>
      </c>
      <c r="D25" s="37">
        <f>0+0</f>
        <v>0</v>
      </c>
      <c r="E25" s="38">
        <f>(153358216.97+0)/1000</f>
        <v>153358.21697</v>
      </c>
      <c r="F25" s="38">
        <f>(127540792.97+0)/1000</f>
        <v>127540.79297</v>
      </c>
      <c r="G25" s="38">
        <f>(158624719.66+0)/1000</f>
        <v>158624.71966</v>
      </c>
      <c r="H25" s="38">
        <f>(127614650.1+0)/1000</f>
        <v>127614.6501</v>
      </c>
      <c r="I25" s="38">
        <f>(135097362.79+0)/1000</f>
        <v>135097.36278999998</v>
      </c>
      <c r="J25" s="39">
        <f>(114812552.21+0)/1000</f>
        <v>114812.55221</v>
      </c>
      <c r="K25" s="18">
        <v>12.0039384139105</v>
      </c>
      <c r="L25" s="18">
        <v>5.81017672092807</v>
      </c>
      <c r="M25" s="18">
        <v>12.0207278853324</v>
      </c>
      <c r="N25" s="18">
        <v>5.78635227485532</v>
      </c>
      <c r="O25" s="19">
        <v>13.2013559351065</v>
      </c>
      <c r="P25" s="20">
        <v>5.98149169862444</v>
      </c>
      <c r="S25" s="2"/>
    </row>
    <row r="26" spans="1:19" ht="12.75">
      <c r="A26" s="2"/>
      <c r="B26" s="17" t="s">
        <v>32</v>
      </c>
      <c r="C26" s="36">
        <f>65</f>
        <v>65</v>
      </c>
      <c r="D26" s="37">
        <f>0</f>
        <v>0</v>
      </c>
      <c r="E26" s="38">
        <f>556457175.879999/1000</f>
        <v>556457.1758799991</v>
      </c>
      <c r="F26" s="38">
        <f>0/1000</f>
        <v>0</v>
      </c>
      <c r="G26" s="38">
        <f>537990007.420001/1000</f>
        <v>537990.0074200011</v>
      </c>
      <c r="H26" s="38">
        <f>0/1000</f>
        <v>0</v>
      </c>
      <c r="I26" s="38">
        <f>552586374.86/1000</f>
        <v>552586.37486</v>
      </c>
      <c r="J26" s="39">
        <f>0/1000</f>
        <v>0</v>
      </c>
      <c r="K26" s="18">
        <v>11.4479696785365</v>
      </c>
      <c r="L26" s="18">
        <v>0</v>
      </c>
      <c r="M26" s="18">
        <v>11.6472413979112</v>
      </c>
      <c r="N26" s="18">
        <v>0</v>
      </c>
      <c r="O26" s="19">
        <v>11.6991521426781</v>
      </c>
      <c r="P26" s="20">
        <v>0</v>
      </c>
      <c r="S26" s="2"/>
    </row>
    <row r="27" spans="1:19" ht="12.75">
      <c r="A27" s="2"/>
      <c r="B27" s="17" t="s">
        <v>15</v>
      </c>
      <c r="C27" s="36">
        <f>0</f>
        <v>0</v>
      </c>
      <c r="D27" s="37">
        <f>0</f>
        <v>0</v>
      </c>
      <c r="E27" s="38">
        <f>123144347.72/1000</f>
        <v>123144.34772</v>
      </c>
      <c r="F27" s="38">
        <f>1044475/1000</f>
        <v>1044.475</v>
      </c>
      <c r="G27" s="38">
        <f>110590598.9/1000</f>
        <v>110590.59890000001</v>
      </c>
      <c r="H27" s="38">
        <f>2149130/1000</f>
        <v>2149.13</v>
      </c>
      <c r="I27" s="38">
        <f>770000/1000</f>
        <v>770</v>
      </c>
      <c r="J27" s="39">
        <f>1811567.44/1000</f>
        <v>1811.56744</v>
      </c>
      <c r="K27" s="18">
        <v>11.0415998696233</v>
      </c>
      <c r="L27" s="18">
        <v>6.75</v>
      </c>
      <c r="M27" s="18">
        <v>11.0467052195338</v>
      </c>
      <c r="N27" s="18">
        <v>6.75</v>
      </c>
      <c r="O27" s="19">
        <v>16</v>
      </c>
      <c r="P27" s="20">
        <v>6.75</v>
      </c>
      <c r="S27" s="2"/>
    </row>
    <row r="28" spans="1:19" ht="12.75">
      <c r="A28" s="2"/>
      <c r="B28" s="17" t="s">
        <v>33</v>
      </c>
      <c r="C28" s="36">
        <f>26+0</f>
        <v>26</v>
      </c>
      <c r="D28" s="37">
        <f>1+0</f>
        <v>1</v>
      </c>
      <c r="E28" s="38">
        <f>(170281885.65+0)/1000</f>
        <v>170281.88565</v>
      </c>
      <c r="F28" s="38">
        <f>(10758048.72+0)/1000</f>
        <v>10758.04872</v>
      </c>
      <c r="G28" s="38">
        <f>(181016565.29+0)/1000</f>
        <v>181016.56529</v>
      </c>
      <c r="H28" s="38">
        <f>(12037991.99+0)/1000</f>
        <v>12037.99199</v>
      </c>
      <c r="I28" s="38">
        <f>(203528125.5+0)/1000</f>
        <v>203528.1255</v>
      </c>
      <c r="J28" s="39">
        <f>(10716827.39+0)/1000</f>
        <v>10716.82739</v>
      </c>
      <c r="K28" s="18">
        <v>10.655095168809</v>
      </c>
      <c r="L28" s="18">
        <v>5.54992979377398</v>
      </c>
      <c r="M28" s="18">
        <v>10.5630158419437</v>
      </c>
      <c r="N28" s="18">
        <v>5.68369039895831</v>
      </c>
      <c r="O28" s="19">
        <v>10.6706612630671</v>
      </c>
      <c r="P28" s="20">
        <v>5.95831890565702</v>
      </c>
      <c r="S28" s="2"/>
    </row>
    <row r="29" spans="1:19" ht="25.5">
      <c r="A29" s="2"/>
      <c r="B29" s="17" t="s">
        <v>1</v>
      </c>
      <c r="C29" s="36">
        <f>0</f>
        <v>0</v>
      </c>
      <c r="D29" s="37">
        <f>2</f>
        <v>2</v>
      </c>
      <c r="E29" s="38">
        <f>346813129.35/1000</f>
        <v>346813.12935</v>
      </c>
      <c r="F29" s="38">
        <f>337676886.05/1000</f>
        <v>337676.88605000003</v>
      </c>
      <c r="G29" s="38">
        <f>367120015.43/1000</f>
        <v>367120.01543</v>
      </c>
      <c r="H29" s="38">
        <f>356989349.26/1000</f>
        <v>356989.34926</v>
      </c>
      <c r="I29" s="38">
        <f>356769751.71/1000</f>
        <v>356769.75171</v>
      </c>
      <c r="J29" s="39">
        <f>444817346.7/1000</f>
        <v>444817.3467</v>
      </c>
      <c r="K29" s="18">
        <v>13.0109919712588</v>
      </c>
      <c r="L29" s="18">
        <v>4.8243861491449</v>
      </c>
      <c r="M29" s="18">
        <v>13.3591619880983</v>
      </c>
      <c r="N29" s="18">
        <v>4.94129442535123</v>
      </c>
      <c r="O29" s="19">
        <v>15.1410321700868</v>
      </c>
      <c r="P29" s="20">
        <v>6.07401191149814</v>
      </c>
      <c r="S29" s="2"/>
    </row>
    <row r="30" spans="1:19" ht="12.75">
      <c r="A30" s="2"/>
      <c r="B30" s="17" t="s">
        <v>8</v>
      </c>
      <c r="C30" s="40">
        <f>2</f>
        <v>2</v>
      </c>
      <c r="D30" s="41">
        <f>0</f>
        <v>0</v>
      </c>
      <c r="E30" s="42">
        <f>66750370.97/1000</f>
        <v>66750.37097</v>
      </c>
      <c r="F30" s="42">
        <f>44247112.93/1000</f>
        <v>44247.11293</v>
      </c>
      <c r="G30" s="42">
        <f>65245708.62/1000</f>
        <v>65245.70862</v>
      </c>
      <c r="H30" s="42">
        <f>45068157.69/1000</f>
        <v>45068.15769</v>
      </c>
      <c r="I30" s="42">
        <f>71902017.42/1000</f>
        <v>71902.01742</v>
      </c>
      <c r="J30" s="43">
        <f>48620569.75/1000</f>
        <v>48620.56975</v>
      </c>
      <c r="K30" s="21">
        <v>12.7841365066499</v>
      </c>
      <c r="L30" s="21">
        <v>6.4302721192752</v>
      </c>
      <c r="M30" s="21">
        <v>12.8605343114135</v>
      </c>
      <c r="N30" s="21">
        <v>6.46950005037803</v>
      </c>
      <c r="O30" s="22">
        <v>14.5597254272772</v>
      </c>
      <c r="P30" s="23">
        <v>6.50254712135289</v>
      </c>
      <c r="S30" s="2"/>
    </row>
    <row r="31" spans="1:19" ht="12.75">
      <c r="A31" s="2"/>
      <c r="B31" s="24" t="s">
        <v>12</v>
      </c>
      <c r="C31" s="44">
        <f>705+0</f>
        <v>705</v>
      </c>
      <c r="D31" s="45">
        <f>0+1</f>
        <v>1</v>
      </c>
      <c r="E31" s="46">
        <f>(194258091.37+130237909.08)/1000</f>
        <v>324496.00045</v>
      </c>
      <c r="F31" s="46">
        <f>(94562065.49+66732797.89)/1000</f>
        <v>161294.86338</v>
      </c>
      <c r="G31" s="46">
        <f>(187783655.69+131058663.86)/1000</f>
        <v>318842.31955</v>
      </c>
      <c r="H31" s="46">
        <f>(96301358.23+66444577.93)/1000</f>
        <v>162745.93615999998</v>
      </c>
      <c r="I31" s="46">
        <f>(171012840.4+142204674.66)/1000</f>
        <v>313217.51506</v>
      </c>
      <c r="J31" s="45">
        <f>(96509497.79+75896317.39)/1000</f>
        <v>172405.81518</v>
      </c>
      <c r="K31" s="25">
        <v>13.1669471847184</v>
      </c>
      <c r="L31" s="31">
        <v>2.43710281043731</v>
      </c>
      <c r="M31" s="25">
        <v>13.6259874381848</v>
      </c>
      <c r="N31" s="31">
        <v>2.38240749353406</v>
      </c>
      <c r="O31" s="26">
        <v>14.1630086425809</v>
      </c>
      <c r="P31" s="27">
        <v>3.13733601946535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8"/>
      <c r="K33" s="2"/>
      <c r="S33" s="2"/>
    </row>
    <row r="34" spans="1:19" ht="15" customHeight="1">
      <c r="A34" s="2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S34" s="2"/>
    </row>
    <row r="35" spans="1:19" ht="12" customHeight="1">
      <c r="A35" s="2"/>
      <c r="B35" s="28"/>
      <c r="S35" s="2"/>
    </row>
    <row r="36" spans="1:19" ht="12" customHeight="1">
      <c r="A36" s="2"/>
      <c r="B36" s="28"/>
      <c r="S36" s="2"/>
    </row>
    <row r="37" spans="1:19" ht="22.5" customHeight="1">
      <c r="A37" s="2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S37" s="2"/>
    </row>
    <row r="38" spans="1:19" ht="12.75">
      <c r="A38" s="2"/>
      <c r="B38" s="28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2"/>
      <c r="S44" s="2"/>
    </row>
  </sheetData>
  <sheetProtection/>
  <mergeCells count="20"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2017-01-17T12:56:09Z</cp:lastPrinted>
  <dcterms:modified xsi:type="dcterms:W3CDTF">2017-01-19T12:17:39Z</dcterms:modified>
  <cp:category/>
  <cp:version/>
  <cp:contentType/>
  <cp:contentStatus/>
</cp:coreProperties>
</file>