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960" activeTab="0"/>
  </bookViews>
  <sheets>
    <sheet name="Anexa 2" sheetId="1" r:id="rId1"/>
    <sheet name="Sheet2" sheetId="2" state="hidden" r:id="rId2"/>
  </sheets>
  <definedNames>
    <definedName name="_xlnm.Print_Area" localSheetId="0">'Anexa 2'!$B$2:$P$44</definedName>
  </definedNames>
  <calcPr fullCalcOnLoad="1" iterate="1" iterateCount="100" iterateDelta="0.001"/>
</workbook>
</file>

<file path=xl/sharedStrings.xml><?xml version="1.0" encoding="utf-8"?>
<sst xmlns="http://schemas.openxmlformats.org/spreadsheetml/2006/main" count="59" uniqueCount="46">
  <si>
    <t>la situatia  31.03.2016</t>
  </si>
  <si>
    <t>Credite acordate in domeniul transportului, telecomunicatiilor si dezvoltarii retelei</t>
  </si>
  <si>
    <t>Creditele care imbina forme de acord REPO, plasari-garantii, leasing financiar sunt clasificate conform caracteristicilor grupelor de conturi mentionate in anexa nr.12 din Instructiunea privind modul de intocmire si prezentare de catre banci a rapoartelor in scopuri prudentiale.</t>
  </si>
  <si>
    <t xml:space="preserve">Credite acordate industriei alimentare </t>
  </si>
  <si>
    <t>Credite acordate de consum****</t>
  </si>
  <si>
    <t>**** credite acordate persoanelor fizice care nu practica activitate de intreprinzator.</t>
  </si>
  <si>
    <t>lunii gestionare</t>
  </si>
  <si>
    <t>Credite acordate bancilor</t>
  </si>
  <si>
    <t>Credite acordate in domeniul prestarii serviciilor</t>
  </si>
  <si>
    <t>Semnaturile:</t>
  </si>
  <si>
    <t>Credite acordate comertului</t>
  </si>
  <si>
    <t xml:space="preserve"> Portofoliul de credite, mii lei, sold la sfirsitul </t>
  </si>
  <si>
    <t>Alte credite acordate ***</t>
  </si>
  <si>
    <t xml:space="preserve">Credite acordate in domeniul constructiilor </t>
  </si>
  <si>
    <t>** se calculeaza conform pct.4 din Instructiunea privind raportarea ratelor dobanzilor aplicate de bancile din R.Moldova.</t>
  </si>
  <si>
    <t xml:space="preserve"> Nota:  Informatia este dezvaluita, conform cerintelor expuse in Regulamentul cu privire la dezvaluirea de catre bancile din R.Moldova a informatiei aferente activitatilor lor. </t>
  </si>
  <si>
    <t>Credite acordate organizatiilor necomerciale</t>
  </si>
  <si>
    <t>Informatia privind creditele</t>
  </si>
  <si>
    <t>Anexa 2</t>
  </si>
  <si>
    <t>Credite acordate persoanelor fizice care practica activitate de intreprinzator</t>
  </si>
  <si>
    <t>acordate in valuta striina *</t>
  </si>
  <si>
    <t>a BC "Moldova-Agroindbank" S.A.</t>
  </si>
  <si>
    <t>in MDL</t>
  </si>
  <si>
    <t>lunii precedente celei gestionare</t>
  </si>
  <si>
    <t>Credite acordate industriei productive</t>
  </si>
  <si>
    <t>Credite acordate institutiilor finantate de la bugetul de stat</t>
  </si>
  <si>
    <t>Creditele overnight acordate bancilor</t>
  </si>
  <si>
    <t>acordate in MDL</t>
  </si>
  <si>
    <t>Credite acordate agriculturii</t>
  </si>
  <si>
    <t>Credite acordate industriei energetice</t>
  </si>
  <si>
    <t xml:space="preserve">Credite acordate unitatilor administrativ teritoriale/institutiilor subordonate unitatilor administrativ teritoriale </t>
  </si>
  <si>
    <t>Credite acordate mediului financiar nebancar</t>
  </si>
  <si>
    <t>Tipul de credit</t>
  </si>
  <si>
    <t>A</t>
  </si>
  <si>
    <t>Credite acordate pentru procurarea/construirea imobilului ****</t>
  </si>
  <si>
    <t>anului precedent celui gestionar</t>
  </si>
  <si>
    <t>Rata medie a dobanzii aferenta soldurilor creditelor **,                                    %, la sfirsitul</t>
  </si>
  <si>
    <t>Nr. creditelor acordate in perioada lunii gestionare</t>
  </si>
  <si>
    <t>*** creditele acordate persoanelor fizice cu exceptia persoanelor fizice care practica activitate, sunt clasificate la  "Alte credite acordate", conform caracteristicilor grupei de conturi 1490, 1510 si altele, care nu au fost reflectate in celelalte tipuri de credit.</t>
  </si>
  <si>
    <t>in valuta straina</t>
  </si>
  <si>
    <t>* sumele creditelor in valuta straina se recalculeaza la cursul oficial al leului moldovenesc valabil la data gestionara.</t>
  </si>
  <si>
    <t>Credite acordate CNAS/CNAM</t>
  </si>
  <si>
    <t>Credite acordate Guvernului</t>
  </si>
  <si>
    <t>Presedintele Comitetului de Conducere al bancii  ______________________________S.Cebotari</t>
  </si>
  <si>
    <t>Executorul si numarul telefonului  F.Plugaru   0-22-24-43-54</t>
  </si>
  <si>
    <t>Data perfectarii 15.04.2016</t>
  </si>
</sst>
</file>

<file path=xl/styles.xml><?xml version="1.0" encoding="utf-8"?>
<styleSheet xmlns="http://schemas.openxmlformats.org/spreadsheetml/2006/main">
  <numFmts count="2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
    <numFmt numFmtId="175" formatCode="0.000E+00"/>
  </numFmts>
  <fonts count="40">
    <font>
      <sz val="10"/>
      <name val="Arial"/>
      <family val="0"/>
    </font>
    <font>
      <b/>
      <sz val="10"/>
      <name val="Arial"/>
      <family val="0"/>
    </font>
    <font>
      <i/>
      <sz val="10"/>
      <name val="Arial"/>
      <family val="0"/>
    </font>
    <font>
      <b/>
      <i/>
      <sz val="10"/>
      <name val="Arial"/>
      <family val="0"/>
    </font>
    <font>
      <sz val="10"/>
      <name val="Times New Roman"/>
      <family val="0"/>
    </font>
    <font>
      <b/>
      <sz val="10"/>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style="medium"/>
    </border>
    <border>
      <left style="medium"/>
      <right>
        <color indexed="63"/>
      </right>
      <top style="medium"/>
      <bottom>
        <color indexed="63"/>
      </bottom>
    </border>
    <border>
      <left style="medium"/>
      <right style="thin"/>
      <top>
        <color indexed="63"/>
      </top>
      <bottom style="medium"/>
    </border>
    <border>
      <left style="thin"/>
      <right style="thin"/>
      <top style="medium"/>
      <bottom style="medium"/>
    </border>
    <border>
      <left style="thin"/>
      <right style="thin"/>
      <top style="medium"/>
      <bottom>
        <color indexed="63"/>
      </bottom>
    </border>
    <border>
      <left style="thin"/>
      <right style="medium"/>
      <top>
        <color indexed="63"/>
      </top>
      <bottom>
        <color indexed="63"/>
      </bottom>
    </border>
    <border>
      <left style="medium"/>
      <right style="medium"/>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medium"/>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thin"/>
      <bottom>
        <color indexed="63"/>
      </bottom>
    </border>
    <border>
      <left style="medium"/>
      <right style="thin"/>
      <top style="thin"/>
      <bottom style="mediu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medium"/>
      <top style="medium"/>
      <bottom style="thin"/>
    </border>
    <border>
      <left style="medium"/>
      <right>
        <color indexed="63"/>
      </right>
      <top style="medium"/>
      <bottom style="medium"/>
    </border>
    <border>
      <left style="thin"/>
      <right style="medium"/>
      <top>
        <color indexed="63"/>
      </top>
      <bottom style="thin"/>
    </border>
    <border>
      <left style="medium"/>
      <right>
        <color indexed="63"/>
      </right>
      <top style="medium"/>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6">
    <xf numFmtId="0" fontId="0" fillId="0" borderId="0" xfId="0"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protection/>
    </xf>
    <xf numFmtId="0" fontId="5" fillId="0" borderId="15" xfId="0" applyNumberFormat="1" applyFont="1" applyFill="1" applyBorder="1" applyAlignment="1" applyProtection="1">
      <alignment horizontal="center"/>
      <protection/>
    </xf>
    <xf numFmtId="0" fontId="5" fillId="0" borderId="16" xfId="0" applyNumberFormat="1" applyFont="1" applyFill="1" applyBorder="1" applyAlignment="1" applyProtection="1">
      <alignment horizontal="center"/>
      <protection/>
    </xf>
    <xf numFmtId="0" fontId="5" fillId="0" borderId="17" xfId="0" applyNumberFormat="1" applyFont="1" applyFill="1" applyBorder="1" applyAlignment="1" applyProtection="1">
      <alignment horizontal="center"/>
      <protection/>
    </xf>
    <xf numFmtId="0" fontId="5" fillId="0" borderId="18" xfId="0" applyNumberFormat="1" applyFont="1" applyFill="1" applyBorder="1" applyAlignment="1" applyProtection="1">
      <alignment horizontal="center"/>
      <protection/>
    </xf>
    <xf numFmtId="0" fontId="4" fillId="0" borderId="19" xfId="0" applyNumberFormat="1" applyFont="1" applyFill="1" applyBorder="1" applyAlignment="1" applyProtection="1">
      <alignment wrapText="1"/>
      <protection/>
    </xf>
    <xf numFmtId="2" fontId="4" fillId="0" borderId="20" xfId="0" applyNumberFormat="1" applyFont="1" applyFill="1" applyBorder="1" applyAlignment="1" applyProtection="1">
      <alignment/>
      <protection/>
    </xf>
    <xf numFmtId="2" fontId="4" fillId="0" borderId="21" xfId="0" applyNumberFormat="1" applyFont="1" applyFill="1" applyBorder="1" applyAlignment="1" applyProtection="1">
      <alignment/>
      <protection/>
    </xf>
    <xf numFmtId="2" fontId="4" fillId="0" borderId="22" xfId="0" applyNumberFormat="1" applyFont="1" applyFill="1" applyBorder="1" applyAlignment="1" applyProtection="1">
      <alignment/>
      <protection/>
    </xf>
    <xf numFmtId="0" fontId="4" fillId="0" borderId="23" xfId="0" applyNumberFormat="1" applyFont="1" applyFill="1" applyBorder="1" applyAlignment="1" applyProtection="1">
      <alignment wrapText="1"/>
      <protection/>
    </xf>
    <xf numFmtId="2" fontId="4" fillId="0" borderId="24" xfId="0" applyNumberFormat="1" applyFont="1" applyFill="1" applyBorder="1" applyAlignment="1" applyProtection="1">
      <alignment/>
      <protection/>
    </xf>
    <xf numFmtId="2" fontId="4" fillId="0" borderId="25" xfId="0" applyNumberFormat="1" applyFont="1" applyFill="1" applyBorder="1" applyAlignment="1" applyProtection="1">
      <alignment/>
      <protection/>
    </xf>
    <xf numFmtId="2" fontId="4" fillId="0" borderId="26"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10"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0" fontId="4" fillId="0" borderId="29" xfId="0" applyNumberFormat="1" applyFont="1" applyFill="1" applyBorder="1" applyAlignment="1" applyProtection="1">
      <alignment wrapText="1"/>
      <protection/>
    </xf>
    <xf numFmtId="2" fontId="4" fillId="0" borderId="30" xfId="0" applyNumberFormat="1" applyFont="1" applyFill="1" applyBorder="1" applyAlignment="1" applyProtection="1">
      <alignment/>
      <protection/>
    </xf>
    <xf numFmtId="2" fontId="4" fillId="0" borderId="31"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0" fontId="5" fillId="0" borderId="0" xfId="0" applyNumberFormat="1" applyFont="1" applyAlignment="1">
      <alignment/>
    </xf>
    <xf numFmtId="0" fontId="0" fillId="0" borderId="0" xfId="0" applyNumberFormat="1" applyAlignment="1">
      <alignment/>
    </xf>
    <xf numFmtId="174" fontId="0" fillId="0" borderId="0" xfId="0" applyNumberFormat="1" applyAlignment="1">
      <alignment/>
    </xf>
    <xf numFmtId="4" fontId="4" fillId="0" borderId="0" xfId="0" applyNumberFormat="1" applyFont="1" applyAlignment="1">
      <alignment/>
    </xf>
    <xf numFmtId="0" fontId="4" fillId="0" borderId="0" xfId="0" applyNumberFormat="1" applyFont="1" applyBorder="1" applyAlignment="1">
      <alignment/>
    </xf>
    <xf numFmtId="4" fontId="4" fillId="0" borderId="30" xfId="0" applyNumberFormat="1" applyFont="1" applyFill="1" applyBorder="1" applyAlignment="1" applyProtection="1">
      <alignment/>
      <protection/>
    </xf>
    <xf numFmtId="3" fontId="4" fillId="0" borderId="33" xfId="0" applyNumberFormat="1" applyFont="1" applyBorder="1" applyAlignment="1">
      <alignment/>
    </xf>
    <xf numFmtId="3" fontId="4" fillId="0" borderId="34" xfId="0" applyNumberFormat="1" applyFont="1" applyBorder="1" applyAlignment="1">
      <alignment/>
    </xf>
    <xf numFmtId="3" fontId="4" fillId="0" borderId="20" xfId="0" applyNumberFormat="1" applyFont="1" applyFill="1" applyBorder="1" applyAlignment="1" applyProtection="1">
      <alignment/>
      <protection/>
    </xf>
    <xf numFmtId="3" fontId="4" fillId="0" borderId="21" xfId="0" applyNumberFormat="1" applyFont="1" applyFill="1" applyBorder="1" applyAlignment="1" applyProtection="1">
      <alignment/>
      <protection/>
    </xf>
    <xf numFmtId="3" fontId="4" fillId="0" borderId="35" xfId="0" applyNumberFormat="1" applyFont="1" applyBorder="1" applyAlignment="1">
      <alignment/>
    </xf>
    <xf numFmtId="3" fontId="4" fillId="0" borderId="25" xfId="0" applyNumberFormat="1" applyFont="1" applyBorder="1" applyAlignment="1">
      <alignment/>
    </xf>
    <xf numFmtId="3" fontId="4" fillId="0" borderId="24" xfId="0" applyNumberFormat="1" applyFont="1" applyFill="1" applyBorder="1" applyAlignment="1" applyProtection="1">
      <alignment/>
      <protection/>
    </xf>
    <xf numFmtId="3" fontId="4" fillId="0" borderId="25" xfId="0" applyNumberFormat="1" applyFont="1" applyFill="1" applyBorder="1" applyAlignment="1" applyProtection="1">
      <alignment/>
      <protection/>
    </xf>
    <xf numFmtId="3" fontId="4" fillId="0" borderId="36" xfId="0" applyNumberFormat="1" applyFont="1" applyBorder="1" applyAlignment="1">
      <alignment/>
    </xf>
    <xf numFmtId="3" fontId="4" fillId="0" borderId="10" xfId="0" applyNumberFormat="1" applyFont="1" applyBorder="1" applyAlignment="1">
      <alignment/>
    </xf>
    <xf numFmtId="3" fontId="4" fillId="0" borderId="27" xfId="0" applyNumberFormat="1" applyFont="1" applyFill="1" applyBorder="1" applyAlignment="1" applyProtection="1">
      <alignment/>
      <protection/>
    </xf>
    <xf numFmtId="3" fontId="4" fillId="0" borderId="10" xfId="0" applyNumberFormat="1" applyFont="1" applyFill="1" applyBorder="1" applyAlignment="1" applyProtection="1">
      <alignment/>
      <protection/>
    </xf>
    <xf numFmtId="3" fontId="4" fillId="0" borderId="37" xfId="0" applyNumberFormat="1" applyFont="1" applyFill="1" applyBorder="1" applyAlignment="1" applyProtection="1">
      <alignment/>
      <protection/>
    </xf>
    <xf numFmtId="3" fontId="4" fillId="0" borderId="31" xfId="0" applyNumberFormat="1" applyFont="1" applyFill="1" applyBorder="1" applyAlignment="1" applyProtection="1">
      <alignment/>
      <protection/>
    </xf>
    <xf numFmtId="3" fontId="4" fillId="0" borderId="30" xfId="0" applyNumberFormat="1" applyFont="1" applyFill="1" applyBorder="1" applyAlignment="1" applyProtection="1">
      <alignment/>
      <protection/>
    </xf>
    <xf numFmtId="0" fontId="4" fillId="0" borderId="0" xfId="0" applyNumberFormat="1" applyFont="1" applyAlignment="1">
      <alignment/>
    </xf>
    <xf numFmtId="0" fontId="5" fillId="0" borderId="20" xfId="0" applyNumberFormat="1" applyFont="1" applyFill="1" applyBorder="1" applyAlignment="1" applyProtection="1">
      <alignment horizontal="center" vertical="center" wrapText="1"/>
      <protection/>
    </xf>
    <xf numFmtId="0" fontId="5" fillId="0" borderId="38" xfId="0" applyNumberFormat="1" applyFont="1" applyFill="1" applyBorder="1" applyAlignment="1" applyProtection="1">
      <alignment horizontal="center" vertical="center" wrapText="1"/>
      <protection/>
    </xf>
    <xf numFmtId="0" fontId="5" fillId="0" borderId="39" xfId="0" applyNumberFormat="1" applyFont="1" applyFill="1" applyBorder="1" applyAlignment="1" applyProtection="1">
      <alignment horizontal="center" vertical="center" wrapText="1"/>
      <protection/>
    </xf>
    <xf numFmtId="0" fontId="5" fillId="0" borderId="34" xfId="0" applyNumberFormat="1" applyFont="1" applyFill="1" applyBorder="1" applyAlignment="1" applyProtection="1">
      <alignment horizontal="center" vertical="center"/>
      <protection/>
    </xf>
    <xf numFmtId="0" fontId="5" fillId="0" borderId="40" xfId="0" applyNumberFormat="1" applyFont="1" applyFill="1" applyBorder="1" applyAlignment="1" applyProtection="1">
      <alignment horizontal="center" vertical="center"/>
      <protection/>
    </xf>
    <xf numFmtId="0" fontId="5" fillId="0" borderId="34" xfId="0" applyNumberFormat="1" applyFont="1" applyFill="1" applyBorder="1" applyAlignment="1" applyProtection="1">
      <alignment horizontal="center" vertical="center" wrapText="1"/>
      <protection/>
    </xf>
    <xf numFmtId="0" fontId="5" fillId="0" borderId="33" xfId="0" applyNumberFormat="1" applyFont="1" applyFill="1" applyBorder="1" applyAlignment="1" applyProtection="1">
      <alignment horizontal="center" vertical="center" wrapText="1"/>
      <protection/>
    </xf>
    <xf numFmtId="0" fontId="5" fillId="0" borderId="40" xfId="0" applyNumberFormat="1" applyFont="1" applyFill="1" applyBorder="1" applyAlignment="1" applyProtection="1">
      <alignment horizontal="center" vertical="center" wrapText="1"/>
      <protection/>
    </xf>
    <xf numFmtId="0" fontId="5" fillId="0" borderId="4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wrapText="1"/>
      <protection/>
    </xf>
    <xf numFmtId="0" fontId="5" fillId="0" borderId="42"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4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protection/>
    </xf>
    <xf numFmtId="0" fontId="5" fillId="0" borderId="37" xfId="0" applyNumberFormat="1" applyFont="1" applyFill="1" applyBorder="1" applyAlignment="1" applyProtection="1">
      <alignment horizontal="center" vertical="center"/>
      <protection/>
    </xf>
    <xf numFmtId="0" fontId="5" fillId="0" borderId="44" xfId="0" applyNumberFormat="1"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44"/>
  <sheetViews>
    <sheetView tabSelected="1" zoomScalePageLayoutView="0" workbookViewId="0" topLeftCell="A1">
      <selection activeCell="A1" sqref="A1"/>
    </sheetView>
  </sheetViews>
  <sheetFormatPr defaultColWidth="9.140625" defaultRowHeight="12.75"/>
  <cols>
    <col min="1" max="1" width="5.140625" style="1" customWidth="1"/>
    <col min="2" max="2" width="51.00390625" style="1" customWidth="1"/>
    <col min="3" max="4" width="8.57421875" style="1" customWidth="1"/>
    <col min="5" max="16384" width="9.140625" style="1" customWidth="1"/>
  </cols>
  <sheetData>
    <row r="1" spans="1:19" ht="12.75">
      <c r="A1" s="2"/>
      <c r="B1" s="2"/>
      <c r="C1" s="2"/>
      <c r="D1" s="2"/>
      <c r="E1" s="2"/>
      <c r="J1" s="2"/>
      <c r="K1" s="2"/>
      <c r="N1" s="31"/>
      <c r="O1" s="2"/>
      <c r="P1" s="2"/>
      <c r="S1" s="2"/>
    </row>
    <row r="2" spans="1:19" ht="12.75">
      <c r="A2" s="2"/>
      <c r="B2" s="2"/>
      <c r="C2" s="2"/>
      <c r="D2" s="30"/>
      <c r="E2" s="2"/>
      <c r="J2" s="2"/>
      <c r="K2" s="2"/>
      <c r="N2" s="2"/>
      <c r="P2" s="2" t="s">
        <v>18</v>
      </c>
      <c r="S2" s="2"/>
    </row>
    <row r="3" spans="1:19" ht="12.75">
      <c r="A3" s="2"/>
      <c r="B3" s="58" t="s">
        <v>17</v>
      </c>
      <c r="C3" s="58"/>
      <c r="D3" s="58"/>
      <c r="E3" s="58"/>
      <c r="F3" s="58"/>
      <c r="G3" s="58"/>
      <c r="H3" s="58"/>
      <c r="I3" s="58"/>
      <c r="J3" s="58"/>
      <c r="K3" s="58"/>
      <c r="L3" s="58"/>
      <c r="M3" s="58"/>
      <c r="N3" s="58"/>
      <c r="O3" s="58"/>
      <c r="P3" s="58"/>
      <c r="S3" s="2"/>
    </row>
    <row r="4" spans="1:19" ht="12.75">
      <c r="A4" s="2"/>
      <c r="B4" s="58" t="s">
        <v>21</v>
      </c>
      <c r="C4" s="58"/>
      <c r="D4" s="58"/>
      <c r="E4" s="58"/>
      <c r="F4" s="58"/>
      <c r="G4" s="58"/>
      <c r="H4" s="58"/>
      <c r="I4" s="58"/>
      <c r="J4" s="58"/>
      <c r="K4" s="58"/>
      <c r="L4" s="58"/>
      <c r="M4" s="58"/>
      <c r="N4" s="58"/>
      <c r="O4" s="58"/>
      <c r="P4" s="58"/>
      <c r="S4" s="2"/>
    </row>
    <row r="5" spans="1:19" ht="12.75">
      <c r="A5" s="2"/>
      <c r="B5" s="2"/>
      <c r="S5" s="2"/>
    </row>
    <row r="6" spans="1:19" ht="12.75">
      <c r="A6" s="2"/>
      <c r="B6" s="58" t="s">
        <v>0</v>
      </c>
      <c r="C6" s="58"/>
      <c r="D6" s="58"/>
      <c r="E6" s="58"/>
      <c r="F6" s="58"/>
      <c r="G6" s="58"/>
      <c r="H6" s="58"/>
      <c r="I6" s="58"/>
      <c r="J6" s="58"/>
      <c r="K6" s="58"/>
      <c r="L6" s="58"/>
      <c r="M6" s="58"/>
      <c r="N6" s="58"/>
      <c r="O6" s="58"/>
      <c r="P6" s="58"/>
      <c r="S6" s="2"/>
    </row>
    <row r="7" spans="1:19" ht="12.75">
      <c r="A7" s="2"/>
      <c r="B7" s="2"/>
      <c r="S7" s="2"/>
    </row>
    <row r="8" spans="1:19" ht="57.75" customHeight="1">
      <c r="A8" s="2"/>
      <c r="B8" s="60" t="s">
        <v>32</v>
      </c>
      <c r="C8" s="65" t="s">
        <v>37</v>
      </c>
      <c r="D8" s="65"/>
      <c r="E8" s="49" t="s">
        <v>11</v>
      </c>
      <c r="F8" s="49"/>
      <c r="G8" s="49"/>
      <c r="H8" s="49"/>
      <c r="I8" s="49"/>
      <c r="J8" s="49"/>
      <c r="K8" s="57" t="s">
        <v>36</v>
      </c>
      <c r="L8" s="57"/>
      <c r="M8" s="57"/>
      <c r="N8" s="57"/>
      <c r="O8" s="57"/>
      <c r="P8" s="57"/>
      <c r="S8" s="2"/>
    </row>
    <row r="9" spans="1:19" ht="12.75">
      <c r="A9" s="2"/>
      <c r="B9" s="60"/>
      <c r="C9" s="63" t="s">
        <v>22</v>
      </c>
      <c r="D9" s="50" t="s">
        <v>39</v>
      </c>
      <c r="E9" s="52" t="s">
        <v>6</v>
      </c>
      <c r="F9" s="53"/>
      <c r="G9" s="54" t="s">
        <v>23</v>
      </c>
      <c r="H9" s="55"/>
      <c r="I9" s="56" t="s">
        <v>35</v>
      </c>
      <c r="J9" s="55"/>
      <c r="K9" s="52" t="s">
        <v>6</v>
      </c>
      <c r="L9" s="53"/>
      <c r="M9" s="54" t="s">
        <v>23</v>
      </c>
      <c r="N9" s="50"/>
      <c r="O9" s="62" t="s">
        <v>35</v>
      </c>
      <c r="P9" s="62"/>
      <c r="S9" s="2"/>
    </row>
    <row r="10" spans="1:19" ht="38.25">
      <c r="A10" s="2"/>
      <c r="B10" s="61"/>
      <c r="C10" s="64"/>
      <c r="D10" s="51"/>
      <c r="E10" s="3" t="s">
        <v>27</v>
      </c>
      <c r="F10" s="4" t="s">
        <v>20</v>
      </c>
      <c r="G10" s="4" t="s">
        <v>27</v>
      </c>
      <c r="H10" s="4" t="s">
        <v>20</v>
      </c>
      <c r="I10" s="4" t="s">
        <v>27</v>
      </c>
      <c r="J10" s="4" t="s">
        <v>20</v>
      </c>
      <c r="K10" s="4" t="s">
        <v>27</v>
      </c>
      <c r="L10" s="4" t="s">
        <v>20</v>
      </c>
      <c r="M10" s="4" t="s">
        <v>27</v>
      </c>
      <c r="N10" s="4" t="s">
        <v>20</v>
      </c>
      <c r="O10" s="5" t="s">
        <v>27</v>
      </c>
      <c r="P10" s="6" t="s">
        <v>20</v>
      </c>
      <c r="S10" s="2"/>
    </row>
    <row r="11" spans="1:19" ht="12.75">
      <c r="A11" s="2"/>
      <c r="B11" s="7" t="s">
        <v>33</v>
      </c>
      <c r="C11" s="8">
        <v>1</v>
      </c>
      <c r="D11" s="9">
        <v>2</v>
      </c>
      <c r="E11" s="10">
        <v>3</v>
      </c>
      <c r="F11" s="10">
        <v>4</v>
      </c>
      <c r="G11" s="10">
        <v>5</v>
      </c>
      <c r="H11" s="10">
        <v>6</v>
      </c>
      <c r="I11" s="10">
        <v>7</v>
      </c>
      <c r="J11" s="10">
        <v>8</v>
      </c>
      <c r="K11" s="10">
        <v>9</v>
      </c>
      <c r="L11" s="10">
        <v>10</v>
      </c>
      <c r="M11" s="10">
        <v>11</v>
      </c>
      <c r="N11" s="10">
        <v>12</v>
      </c>
      <c r="O11" s="10">
        <v>13</v>
      </c>
      <c r="P11" s="11">
        <v>14</v>
      </c>
      <c r="S11" s="2"/>
    </row>
    <row r="12" spans="1:19" ht="12.75">
      <c r="A12" s="2"/>
      <c r="B12" s="12" t="s">
        <v>28</v>
      </c>
      <c r="C12" s="33">
        <f>85</f>
        <v>85</v>
      </c>
      <c r="D12" s="34">
        <f>3</f>
        <v>3</v>
      </c>
      <c r="E12" s="35">
        <f>673853856.51/1000</f>
        <v>673853.85651</v>
      </c>
      <c r="F12" s="35">
        <f>227468451.26/1000</f>
        <v>227468.45126</v>
      </c>
      <c r="G12" s="35">
        <f>632838026.48/1000</f>
        <v>632838.02648</v>
      </c>
      <c r="H12" s="35">
        <f>251639950.25/1000</f>
        <v>251639.95025</v>
      </c>
      <c r="I12" s="35">
        <f>644646385.28/1000</f>
        <v>644646.3852799999</v>
      </c>
      <c r="J12" s="36">
        <f>255135474.51/1000</f>
        <v>255135.47451</v>
      </c>
      <c r="K12" s="13">
        <v>13.7075750996246</v>
      </c>
      <c r="L12" s="13">
        <v>7.03767042748977</v>
      </c>
      <c r="M12" s="13">
        <v>14.0092224582805</v>
      </c>
      <c r="N12" s="13">
        <v>6.99329183668602</v>
      </c>
      <c r="O12" s="14">
        <v>13.9280183470177</v>
      </c>
      <c r="P12" s="15">
        <v>6.96352720538619</v>
      </c>
      <c r="S12" s="2"/>
    </row>
    <row r="13" spans="1:19" ht="12.75">
      <c r="A13" s="2"/>
      <c r="B13" s="16" t="s">
        <v>3</v>
      </c>
      <c r="C13" s="37">
        <f>2</f>
        <v>2</v>
      </c>
      <c r="D13" s="38">
        <f>3</f>
        <v>3</v>
      </c>
      <c r="E13" s="39">
        <f>701473089.61/1000</f>
        <v>701473.08961</v>
      </c>
      <c r="F13" s="39">
        <f>901051649.41/1000</f>
        <v>901051.64941</v>
      </c>
      <c r="G13" s="39">
        <f>570446908.86/1000</f>
        <v>570446.90886</v>
      </c>
      <c r="H13" s="39">
        <f>947397072.34/1000</f>
        <v>947397.0723400001</v>
      </c>
      <c r="I13" s="39">
        <f>608850641.74/1000</f>
        <v>608850.64174</v>
      </c>
      <c r="J13" s="40">
        <f>949622268.68/1000</f>
        <v>949622.26868</v>
      </c>
      <c r="K13" s="17">
        <v>14.355031150259</v>
      </c>
      <c r="L13" s="17">
        <v>5.86765971176394</v>
      </c>
      <c r="M13" s="17">
        <v>14.2045164301322</v>
      </c>
      <c r="N13" s="17">
        <v>5.95810349025909</v>
      </c>
      <c r="O13" s="18">
        <v>14.0149362155044</v>
      </c>
      <c r="P13" s="19">
        <v>6.00813615162484</v>
      </c>
      <c r="S13" s="2"/>
    </row>
    <row r="14" spans="1:19" ht="12.75">
      <c r="A14" s="2"/>
      <c r="B14" s="16" t="s">
        <v>13</v>
      </c>
      <c r="C14" s="37">
        <f>2</f>
        <v>2</v>
      </c>
      <c r="D14" s="38">
        <f>1</f>
        <v>1</v>
      </c>
      <c r="E14" s="39">
        <f>140874487.46/1000</f>
        <v>140874.48746</v>
      </c>
      <c r="F14" s="39">
        <f>19309445.57/1000</f>
        <v>19309.44557</v>
      </c>
      <c r="G14" s="39">
        <f>142051071.08/1000</f>
        <v>142051.07108000002</v>
      </c>
      <c r="H14" s="39">
        <f>19236420.19/1000</f>
        <v>19236.42019</v>
      </c>
      <c r="I14" s="39">
        <f>150056069.24/1000</f>
        <v>150056.06924</v>
      </c>
      <c r="J14" s="40">
        <f>18777073.47/1000</f>
        <v>18777.07347</v>
      </c>
      <c r="K14" s="17">
        <v>14.478824327252</v>
      </c>
      <c r="L14" s="17">
        <v>6.76119377067127</v>
      </c>
      <c r="M14" s="17">
        <v>14.5241528832125</v>
      </c>
      <c r="N14" s="17">
        <v>6.75829919664486</v>
      </c>
      <c r="O14" s="18">
        <v>14.4238678746027</v>
      </c>
      <c r="P14" s="19">
        <v>6.75573630729368</v>
      </c>
      <c r="S14" s="2"/>
    </row>
    <row r="15" spans="1:19" ht="12.75">
      <c r="A15" s="2"/>
      <c r="B15" s="16" t="s">
        <v>4</v>
      </c>
      <c r="C15" s="37">
        <f>995</f>
        <v>995</v>
      </c>
      <c r="D15" s="38">
        <f>0</f>
        <v>0</v>
      </c>
      <c r="E15" s="39">
        <f>1439644694.78/1000</f>
        <v>1439644.69478</v>
      </c>
      <c r="F15" s="39">
        <f>4156.67/1000</f>
        <v>4.15667</v>
      </c>
      <c r="G15" s="39">
        <f>1443275738.06/1000</f>
        <v>1443275.73806</v>
      </c>
      <c r="H15" s="39">
        <f>9580.42/1000</f>
        <v>9.58042</v>
      </c>
      <c r="I15" s="39">
        <f>1462586232.77001/1000</f>
        <v>1462586.23277001</v>
      </c>
      <c r="J15" s="40">
        <f>23698.91/1000</f>
        <v>23.69891</v>
      </c>
      <c r="K15" s="17">
        <v>13.4679966284581</v>
      </c>
      <c r="L15" s="17">
        <v>9.5</v>
      </c>
      <c r="M15" s="17">
        <v>13.3589370461375</v>
      </c>
      <c r="N15" s="17">
        <v>9.5</v>
      </c>
      <c r="O15" s="18">
        <v>13.2230856540077</v>
      </c>
      <c r="P15" s="19">
        <v>9.5</v>
      </c>
      <c r="S15" s="2"/>
    </row>
    <row r="16" spans="1:19" ht="12.75">
      <c r="A16" s="2"/>
      <c r="B16" s="16" t="s">
        <v>29</v>
      </c>
      <c r="C16" s="37">
        <f>0</f>
        <v>0</v>
      </c>
      <c r="D16" s="38">
        <f>0</f>
        <v>0</v>
      </c>
      <c r="E16" s="39">
        <f>168984212.77/1000</f>
        <v>168984.21277</v>
      </c>
      <c r="F16" s="39">
        <f>110161342.81/1000</f>
        <v>110161.34281</v>
      </c>
      <c r="G16" s="39">
        <f>163348028.77/1000</f>
        <v>163348.02877</v>
      </c>
      <c r="H16" s="39">
        <f>116833848.06/1000</f>
        <v>116833.84806</v>
      </c>
      <c r="I16" s="39">
        <f>184155657.77/1000</f>
        <v>184155.65777000002</v>
      </c>
      <c r="J16" s="40">
        <f>140603104.09/1000</f>
        <v>140603.10409</v>
      </c>
      <c r="K16" s="17">
        <v>16.5692169696995</v>
      </c>
      <c r="L16" s="17">
        <v>5.84078693880166</v>
      </c>
      <c r="M16" s="17">
        <v>16.6606440743889</v>
      </c>
      <c r="N16" s="17">
        <v>5.84561458326069</v>
      </c>
      <c r="O16" s="18">
        <v>16.365486255405</v>
      </c>
      <c r="P16" s="19">
        <v>5.82782730217318</v>
      </c>
      <c r="S16" s="2"/>
    </row>
    <row r="17" spans="1:19" ht="12" customHeight="1">
      <c r="A17" s="2"/>
      <c r="B17" s="16" t="s">
        <v>7</v>
      </c>
      <c r="C17" s="37">
        <f>0</f>
        <v>0</v>
      </c>
      <c r="D17" s="38">
        <f>0</f>
        <v>0</v>
      </c>
      <c r="E17" s="39">
        <f aca="true" t="shared" si="0" ref="E17:J21">0/1000</f>
        <v>0</v>
      </c>
      <c r="F17" s="39">
        <f t="shared" si="0"/>
        <v>0</v>
      </c>
      <c r="G17" s="39">
        <f t="shared" si="0"/>
        <v>0</v>
      </c>
      <c r="H17" s="39">
        <f t="shared" si="0"/>
        <v>0</v>
      </c>
      <c r="I17" s="39">
        <f t="shared" si="0"/>
        <v>0</v>
      </c>
      <c r="J17" s="40">
        <f t="shared" si="0"/>
        <v>0</v>
      </c>
      <c r="K17" s="17">
        <v>0</v>
      </c>
      <c r="L17" s="17">
        <v>0</v>
      </c>
      <c r="M17" s="17">
        <v>0</v>
      </c>
      <c r="N17" s="17">
        <v>0</v>
      </c>
      <c r="O17" s="18">
        <v>0</v>
      </c>
      <c r="P17" s="19">
        <v>0</v>
      </c>
      <c r="S17" s="2"/>
    </row>
    <row r="18" spans="1:19" ht="12.75">
      <c r="A18" s="2"/>
      <c r="B18" s="16" t="s">
        <v>26</v>
      </c>
      <c r="C18" s="37">
        <f>0</f>
        <v>0</v>
      </c>
      <c r="D18" s="38">
        <f>0</f>
        <v>0</v>
      </c>
      <c r="E18" s="39">
        <f t="shared" si="0"/>
        <v>0</v>
      </c>
      <c r="F18" s="39">
        <f t="shared" si="0"/>
        <v>0</v>
      </c>
      <c r="G18" s="39">
        <f t="shared" si="0"/>
        <v>0</v>
      </c>
      <c r="H18" s="39">
        <f t="shared" si="0"/>
        <v>0</v>
      </c>
      <c r="I18" s="39">
        <f t="shared" si="0"/>
        <v>0</v>
      </c>
      <c r="J18" s="40">
        <f t="shared" si="0"/>
        <v>0</v>
      </c>
      <c r="K18" s="17">
        <v>0</v>
      </c>
      <c r="L18" s="17">
        <v>0</v>
      </c>
      <c r="M18" s="17">
        <v>0</v>
      </c>
      <c r="N18" s="17">
        <v>0</v>
      </c>
      <c r="O18" s="18">
        <v>0</v>
      </c>
      <c r="P18" s="19">
        <v>0</v>
      </c>
      <c r="S18" s="2"/>
    </row>
    <row r="19" spans="1:19" ht="12.75">
      <c r="A19" s="2"/>
      <c r="B19" s="16" t="s">
        <v>25</v>
      </c>
      <c r="C19" s="37">
        <f>0</f>
        <v>0</v>
      </c>
      <c r="D19" s="38">
        <f>0</f>
        <v>0</v>
      </c>
      <c r="E19" s="39">
        <f t="shared" si="0"/>
        <v>0</v>
      </c>
      <c r="F19" s="39">
        <f t="shared" si="0"/>
        <v>0</v>
      </c>
      <c r="G19" s="39">
        <f t="shared" si="0"/>
        <v>0</v>
      </c>
      <c r="H19" s="39">
        <f t="shared" si="0"/>
        <v>0</v>
      </c>
      <c r="I19" s="39">
        <f t="shared" si="0"/>
        <v>0</v>
      </c>
      <c r="J19" s="40">
        <f t="shared" si="0"/>
        <v>0</v>
      </c>
      <c r="K19" s="17">
        <v>0</v>
      </c>
      <c r="L19" s="17">
        <v>0</v>
      </c>
      <c r="M19" s="17">
        <v>0</v>
      </c>
      <c r="N19" s="17">
        <v>0</v>
      </c>
      <c r="O19" s="18">
        <v>0</v>
      </c>
      <c r="P19" s="19">
        <v>0</v>
      </c>
      <c r="S19" s="2"/>
    </row>
    <row r="20" spans="1:19" ht="12.75">
      <c r="A20" s="2"/>
      <c r="B20" s="16" t="s">
        <v>41</v>
      </c>
      <c r="C20" s="37">
        <f>0</f>
        <v>0</v>
      </c>
      <c r="D20" s="38">
        <f>0</f>
        <v>0</v>
      </c>
      <c r="E20" s="39">
        <f t="shared" si="0"/>
        <v>0</v>
      </c>
      <c r="F20" s="39">
        <f t="shared" si="0"/>
        <v>0</v>
      </c>
      <c r="G20" s="39">
        <f t="shared" si="0"/>
        <v>0</v>
      </c>
      <c r="H20" s="39">
        <f t="shared" si="0"/>
        <v>0</v>
      </c>
      <c r="I20" s="39">
        <f t="shared" si="0"/>
        <v>0</v>
      </c>
      <c r="J20" s="40">
        <f t="shared" si="0"/>
        <v>0</v>
      </c>
      <c r="K20" s="17">
        <v>0</v>
      </c>
      <c r="L20" s="17">
        <v>0</v>
      </c>
      <c r="M20" s="17">
        <v>0</v>
      </c>
      <c r="N20" s="17">
        <v>0</v>
      </c>
      <c r="O20" s="18">
        <v>0</v>
      </c>
      <c r="P20" s="19">
        <v>0</v>
      </c>
      <c r="S20" s="2"/>
    </row>
    <row r="21" spans="1:19" ht="12.75">
      <c r="A21" s="2"/>
      <c r="B21" s="16" t="s">
        <v>42</v>
      </c>
      <c r="C21" s="37">
        <f>0</f>
        <v>0</v>
      </c>
      <c r="D21" s="38">
        <f>0</f>
        <v>0</v>
      </c>
      <c r="E21" s="39">
        <f t="shared" si="0"/>
        <v>0</v>
      </c>
      <c r="F21" s="39">
        <f t="shared" si="0"/>
        <v>0</v>
      </c>
      <c r="G21" s="39">
        <f t="shared" si="0"/>
        <v>0</v>
      </c>
      <c r="H21" s="39">
        <f t="shared" si="0"/>
        <v>0</v>
      </c>
      <c r="I21" s="39">
        <f t="shared" si="0"/>
        <v>0</v>
      </c>
      <c r="J21" s="40">
        <f t="shared" si="0"/>
        <v>0</v>
      </c>
      <c r="K21" s="17">
        <v>0</v>
      </c>
      <c r="L21" s="17">
        <v>0</v>
      </c>
      <c r="M21" s="17">
        <v>0</v>
      </c>
      <c r="N21" s="17">
        <v>0</v>
      </c>
      <c r="O21" s="18">
        <v>0</v>
      </c>
      <c r="P21" s="19">
        <v>0</v>
      </c>
      <c r="S21" s="2"/>
    </row>
    <row r="22" spans="1:19" ht="25.5">
      <c r="A22" s="2"/>
      <c r="B22" s="16" t="s">
        <v>30</v>
      </c>
      <c r="C22" s="37">
        <f>0</f>
        <v>0</v>
      </c>
      <c r="D22" s="38">
        <f>0</f>
        <v>0</v>
      </c>
      <c r="E22" s="39">
        <f>5899997/1000</f>
        <v>5899.997</v>
      </c>
      <c r="F22" s="39">
        <f>0/1000</f>
        <v>0</v>
      </c>
      <c r="G22" s="39">
        <f>6899996/1000</f>
        <v>6899.996</v>
      </c>
      <c r="H22" s="39">
        <f>0/1000</f>
        <v>0</v>
      </c>
      <c r="I22" s="39">
        <f>6899998/1000</f>
        <v>6899.998</v>
      </c>
      <c r="J22" s="40">
        <f>0/1000</f>
        <v>0</v>
      </c>
      <c r="K22" s="17">
        <v>15</v>
      </c>
      <c r="L22" s="17">
        <v>0</v>
      </c>
      <c r="M22" s="17">
        <v>15</v>
      </c>
      <c r="N22" s="17">
        <v>0</v>
      </c>
      <c r="O22" s="18">
        <v>15</v>
      </c>
      <c r="P22" s="19">
        <v>0</v>
      </c>
      <c r="S22" s="2"/>
    </row>
    <row r="23" spans="1:19" ht="12.75">
      <c r="A23" s="2"/>
      <c r="B23" s="16" t="s">
        <v>24</v>
      </c>
      <c r="C23" s="37">
        <f>4</f>
        <v>4</v>
      </c>
      <c r="D23" s="38">
        <f>4</f>
        <v>4</v>
      </c>
      <c r="E23" s="39">
        <f>127646736.47/1000</f>
        <v>127646.73647</v>
      </c>
      <c r="F23" s="39">
        <f>852036625.75/1000</f>
        <v>852036.62575</v>
      </c>
      <c r="G23" s="39">
        <f>133197568.02/1000</f>
        <v>133197.56802</v>
      </c>
      <c r="H23" s="39">
        <f>845979204.8/1000</f>
        <v>845979.2048</v>
      </c>
      <c r="I23" s="39">
        <f>140084993.97/1000</f>
        <v>140084.99397</v>
      </c>
      <c r="J23" s="40">
        <f>815605077.48/1000</f>
        <v>815605.07748</v>
      </c>
      <c r="K23" s="17">
        <v>12.5998606300444</v>
      </c>
      <c r="L23" s="17">
        <v>6.83440897529246</v>
      </c>
      <c r="M23" s="17">
        <v>12.5628839460548</v>
      </c>
      <c r="N23" s="17">
        <v>7.12603478125648</v>
      </c>
      <c r="O23" s="18">
        <v>12.6894334814205</v>
      </c>
      <c r="P23" s="19">
        <v>7.16323843747229</v>
      </c>
      <c r="S23" s="2"/>
    </row>
    <row r="24" spans="1:19" ht="12.75">
      <c r="A24" s="2"/>
      <c r="B24" s="16" t="s">
        <v>10</v>
      </c>
      <c r="C24" s="37">
        <f>39</f>
        <v>39</v>
      </c>
      <c r="D24" s="38">
        <f>16</f>
        <v>16</v>
      </c>
      <c r="E24" s="39">
        <f>1555794378.94/1000</f>
        <v>1555794.37894</v>
      </c>
      <c r="F24" s="39">
        <f>1732473489.88/1000</f>
        <v>1732473.48988</v>
      </c>
      <c r="G24" s="39">
        <f>1582348580.82/1000</f>
        <v>1582348.58082</v>
      </c>
      <c r="H24" s="39">
        <f>1746615814.7/1000</f>
        <v>1746615.8147</v>
      </c>
      <c r="I24" s="39">
        <f>1643883298.93/1000</f>
        <v>1643883.29893</v>
      </c>
      <c r="J24" s="40">
        <f>1777719030.67/1000</f>
        <v>1777719.03067</v>
      </c>
      <c r="K24" s="17">
        <v>13.542260303761</v>
      </c>
      <c r="L24" s="17">
        <v>6.59563380289899</v>
      </c>
      <c r="M24" s="17">
        <v>13.5258612465055</v>
      </c>
      <c r="N24" s="17">
        <v>6.53239473622345</v>
      </c>
      <c r="O24" s="18">
        <v>13.5741063662354</v>
      </c>
      <c r="P24" s="19">
        <v>6.57232210843743</v>
      </c>
      <c r="S24" s="2"/>
    </row>
    <row r="25" spans="1:19" ht="12.75">
      <c r="A25" s="2"/>
      <c r="B25" s="16" t="s">
        <v>31</v>
      </c>
      <c r="C25" s="37">
        <f>5+0</f>
        <v>5</v>
      </c>
      <c r="D25" s="38">
        <f>0+0</f>
        <v>0</v>
      </c>
      <c r="E25" s="39">
        <f>(140261557.79+0)/1000</f>
        <v>140261.55779</v>
      </c>
      <c r="F25" s="39">
        <f>(118483315.37+0)/1000</f>
        <v>118483.31537000001</v>
      </c>
      <c r="G25" s="39">
        <f>(140264923.79+0)/1000</f>
        <v>140264.92379</v>
      </c>
      <c r="H25" s="39">
        <f>(115562716.18+0)/1000</f>
        <v>115562.71618</v>
      </c>
      <c r="I25" s="39">
        <f>(135097362.79+0)/1000</f>
        <v>135097.36278999998</v>
      </c>
      <c r="J25" s="40">
        <f>(114812552.21+0)/1000</f>
        <v>114812.55221</v>
      </c>
      <c r="K25" s="17">
        <v>13.618575215348</v>
      </c>
      <c r="L25" s="17">
        <v>6.01012014500316</v>
      </c>
      <c r="M25" s="17">
        <v>13.5345898339293</v>
      </c>
      <c r="N25" s="17">
        <v>5.98167485452054</v>
      </c>
      <c r="O25" s="18">
        <v>13.2013559351065</v>
      </c>
      <c r="P25" s="19">
        <v>5.98149169862444</v>
      </c>
      <c r="S25" s="2"/>
    </row>
    <row r="26" spans="1:19" ht="12.75">
      <c r="A26" s="2"/>
      <c r="B26" s="16" t="s">
        <v>34</v>
      </c>
      <c r="C26" s="37">
        <f>10</f>
        <v>10</v>
      </c>
      <c r="D26" s="38">
        <f>0</f>
        <v>0</v>
      </c>
      <c r="E26" s="39">
        <f>540697760.99/1000</f>
        <v>540697.76099</v>
      </c>
      <c r="F26" s="39">
        <f>0/1000</f>
        <v>0</v>
      </c>
      <c r="G26" s="39">
        <f>547101166.57/1000</f>
        <v>547101.16657</v>
      </c>
      <c r="H26" s="39">
        <f>0/1000</f>
        <v>0</v>
      </c>
      <c r="I26" s="39">
        <f>552586374.86/1000</f>
        <v>552586.37486</v>
      </c>
      <c r="J26" s="40">
        <f>0/1000</f>
        <v>0</v>
      </c>
      <c r="K26" s="17">
        <v>11.8098790613333</v>
      </c>
      <c r="L26" s="17">
        <v>0</v>
      </c>
      <c r="M26" s="17">
        <v>11.7847968324059</v>
      </c>
      <c r="N26" s="17">
        <v>0</v>
      </c>
      <c r="O26" s="18">
        <v>11.6991521426781</v>
      </c>
      <c r="P26" s="19">
        <v>0</v>
      </c>
      <c r="S26" s="2"/>
    </row>
    <row r="27" spans="1:19" ht="12.75">
      <c r="A27" s="2"/>
      <c r="B27" s="16" t="s">
        <v>16</v>
      </c>
      <c r="C27" s="37">
        <f>0</f>
        <v>0</v>
      </c>
      <c r="D27" s="38">
        <f>0</f>
        <v>0</v>
      </c>
      <c r="E27" s="39">
        <f>862988.42/1000</f>
        <v>862.98842</v>
      </c>
      <c r="F27" s="39">
        <f>1875653.26/1000</f>
        <v>1875.65326</v>
      </c>
      <c r="G27" s="39">
        <f>866494.7/1000</f>
        <v>866.4947</v>
      </c>
      <c r="H27" s="39">
        <f>1864688.33/1000</f>
        <v>1864.6883300000002</v>
      </c>
      <c r="I27" s="39">
        <f>770000/1000</f>
        <v>770</v>
      </c>
      <c r="J27" s="40">
        <f>1811567.44/1000</f>
        <v>1811.56744</v>
      </c>
      <c r="K27" s="17">
        <v>16.5926340355761</v>
      </c>
      <c r="L27" s="17">
        <v>6.75</v>
      </c>
      <c r="M27" s="17">
        <v>16.6124917440349</v>
      </c>
      <c r="N27" s="17">
        <v>6.75</v>
      </c>
      <c r="O27" s="18">
        <v>16</v>
      </c>
      <c r="P27" s="19">
        <v>6.75</v>
      </c>
      <c r="S27" s="2"/>
    </row>
    <row r="28" spans="1:19" ht="25.5">
      <c r="A28" s="2"/>
      <c r="B28" s="16" t="s">
        <v>19</v>
      </c>
      <c r="C28" s="37">
        <f>126+0</f>
        <v>126</v>
      </c>
      <c r="D28" s="38">
        <f>0+0</f>
        <v>0</v>
      </c>
      <c r="E28" s="39">
        <f>(221706998.3+0)/1000</f>
        <v>221706.9983</v>
      </c>
      <c r="F28" s="39">
        <f>(8762025.47+0)/1000</f>
        <v>8762.02547</v>
      </c>
      <c r="G28" s="39">
        <f>(203783149.73+0)/1000</f>
        <v>203783.14972999998</v>
      </c>
      <c r="H28" s="39">
        <f>(9336713.01+0)/1000</f>
        <v>9336.71301</v>
      </c>
      <c r="I28" s="39">
        <f>(203528125.5+0)/1000</f>
        <v>203528.1255</v>
      </c>
      <c r="J28" s="40">
        <f>(10716827.39+0)/1000</f>
        <v>10716.82739</v>
      </c>
      <c r="K28" s="17">
        <v>11.2273276459537</v>
      </c>
      <c r="L28" s="17">
        <v>6.05352322487599</v>
      </c>
      <c r="M28" s="17">
        <v>11.2573829168015</v>
      </c>
      <c r="N28" s="17">
        <v>5.94588048561</v>
      </c>
      <c r="O28" s="18">
        <v>10.6706612630671</v>
      </c>
      <c r="P28" s="19">
        <v>5.95831890565702</v>
      </c>
      <c r="S28" s="2"/>
    </row>
    <row r="29" spans="1:19" ht="25.5">
      <c r="A29" s="2"/>
      <c r="B29" s="16" t="s">
        <v>1</v>
      </c>
      <c r="C29" s="37">
        <f>0</f>
        <v>0</v>
      </c>
      <c r="D29" s="38">
        <f>0</f>
        <v>0</v>
      </c>
      <c r="E29" s="39">
        <f>364208674.91/1000</f>
        <v>364208.67491</v>
      </c>
      <c r="F29" s="39">
        <f>438967072.64/1000</f>
        <v>438967.07263999997</v>
      </c>
      <c r="G29" s="39">
        <f>345006201.67/1000</f>
        <v>345006.20167000004</v>
      </c>
      <c r="H29" s="39">
        <f>449856974.67/1000</f>
        <v>449856.97467</v>
      </c>
      <c r="I29" s="39">
        <f>356769751.71/1000</f>
        <v>356769.75171</v>
      </c>
      <c r="J29" s="40">
        <f>444817346.7/1000</f>
        <v>444817.3467</v>
      </c>
      <c r="K29" s="17">
        <v>15.6738449271716</v>
      </c>
      <c r="L29" s="17">
        <v>5.78541194225916</v>
      </c>
      <c r="M29" s="17">
        <v>15.5847458207011</v>
      </c>
      <c r="N29" s="17">
        <v>5.89679294228691</v>
      </c>
      <c r="O29" s="18">
        <v>15.1410321700868</v>
      </c>
      <c r="P29" s="19">
        <v>6.07401191149815</v>
      </c>
      <c r="S29" s="2"/>
    </row>
    <row r="30" spans="1:19" ht="12.75">
      <c r="A30" s="2"/>
      <c r="B30" s="16" t="s">
        <v>8</v>
      </c>
      <c r="C30" s="41">
        <f>2</f>
        <v>2</v>
      </c>
      <c r="D30" s="42">
        <f>0</f>
        <v>0</v>
      </c>
      <c r="E30" s="43">
        <f>73608510.05/1000</f>
        <v>73608.51005</v>
      </c>
      <c r="F30" s="43">
        <f>48944107.2/1000</f>
        <v>48944.107200000006</v>
      </c>
      <c r="G30" s="43">
        <f>68921661.05/1000</f>
        <v>68921.66105</v>
      </c>
      <c r="H30" s="43">
        <f>47279815.62/1000</f>
        <v>47279.815619999994</v>
      </c>
      <c r="I30" s="43">
        <f>71902017.42/1000</f>
        <v>71902.01742</v>
      </c>
      <c r="J30" s="44">
        <f>48620569.75/1000</f>
        <v>48620.56975</v>
      </c>
      <c r="K30" s="20">
        <v>14.174180619147</v>
      </c>
      <c r="L30" s="20">
        <v>6.5155181467709</v>
      </c>
      <c r="M30" s="20">
        <v>14.6141546587479</v>
      </c>
      <c r="N30" s="20">
        <v>6.50238088662199</v>
      </c>
      <c r="O30" s="21">
        <v>14.5597254272772</v>
      </c>
      <c r="P30" s="22">
        <v>6.50254712135289</v>
      </c>
      <c r="S30" s="2"/>
    </row>
    <row r="31" spans="1:19" ht="12.75">
      <c r="A31" s="2"/>
      <c r="B31" s="23" t="s">
        <v>12</v>
      </c>
      <c r="C31" s="45">
        <f>325+0</f>
        <v>325</v>
      </c>
      <c r="D31" s="46">
        <f>0+1</f>
        <v>1</v>
      </c>
      <c r="E31" s="47">
        <f>(180528423.2+139600233.48)/1000</f>
        <v>320128.65667999996</v>
      </c>
      <c r="F31" s="47">
        <f>(84522698.12+131175063.5)/1000</f>
        <v>215697.76162</v>
      </c>
      <c r="G31" s="47">
        <f>(183315217.98+140255521.81)/1000</f>
        <v>323570.73978999996</v>
      </c>
      <c r="H31" s="47">
        <f>(84515445.46+76176742.77)/1000</f>
        <v>160692.18823</v>
      </c>
      <c r="I31" s="47">
        <f>(171012840.4+142204674.66)/1000</f>
        <v>313217.51506</v>
      </c>
      <c r="J31" s="46">
        <f>(96509497.79+75896317.39)/1000</f>
        <v>172405.81518</v>
      </c>
      <c r="K31" s="24">
        <v>14.3567108260841</v>
      </c>
      <c r="L31" s="32">
        <v>3.95482353966673</v>
      </c>
      <c r="M31" s="24">
        <v>14.2694901634387</v>
      </c>
      <c r="N31" s="24">
        <v>3.25795566356636</v>
      </c>
      <c r="O31" s="25">
        <v>14.1630086425809</v>
      </c>
      <c r="P31" s="26">
        <v>3.13733601946535</v>
      </c>
      <c r="S31" s="2"/>
    </row>
    <row r="32" spans="1:19" ht="12.75">
      <c r="A32" s="2"/>
      <c r="B32" s="2"/>
      <c r="S32" s="2"/>
    </row>
    <row r="33" spans="1:19" ht="12.75">
      <c r="A33" s="2"/>
      <c r="B33" s="27" t="s">
        <v>15</v>
      </c>
      <c r="S33" s="2"/>
    </row>
    <row r="34" spans="1:19" ht="27" customHeight="1">
      <c r="A34" s="2"/>
      <c r="B34" s="59" t="s">
        <v>2</v>
      </c>
      <c r="C34" s="59"/>
      <c r="D34" s="59"/>
      <c r="E34" s="59"/>
      <c r="F34" s="59"/>
      <c r="G34" s="59"/>
      <c r="H34" s="59"/>
      <c r="I34" s="59"/>
      <c r="J34" s="59"/>
      <c r="K34" s="59"/>
      <c r="L34" s="59"/>
      <c r="M34" s="59"/>
      <c r="N34" s="59"/>
      <c r="O34" s="59"/>
      <c r="P34" s="59"/>
      <c r="S34" s="2"/>
    </row>
    <row r="35" spans="1:19" ht="12.75">
      <c r="A35" s="2"/>
      <c r="B35" s="27" t="s">
        <v>40</v>
      </c>
      <c r="S35" s="2"/>
    </row>
    <row r="36" spans="1:19" ht="12.75">
      <c r="A36" s="2"/>
      <c r="B36" s="27" t="s">
        <v>14</v>
      </c>
      <c r="S36" s="2"/>
    </row>
    <row r="37" spans="1:19" ht="22.5" customHeight="1">
      <c r="A37" s="2"/>
      <c r="B37" s="59" t="s">
        <v>38</v>
      </c>
      <c r="C37" s="59"/>
      <c r="D37" s="59"/>
      <c r="E37" s="59"/>
      <c r="F37" s="59"/>
      <c r="G37" s="59"/>
      <c r="H37" s="59"/>
      <c r="I37" s="59"/>
      <c r="J37" s="59"/>
      <c r="K37" s="59"/>
      <c r="L37" s="59"/>
      <c r="M37" s="59"/>
      <c r="N37" s="59"/>
      <c r="O37" s="59"/>
      <c r="P37" s="59"/>
      <c r="S37" s="2"/>
    </row>
    <row r="38" spans="1:19" ht="12.75">
      <c r="A38" s="2"/>
      <c r="B38" s="27" t="s">
        <v>5</v>
      </c>
      <c r="S38" s="2"/>
    </row>
    <row r="39" spans="1:19" ht="12.75">
      <c r="A39" s="2"/>
      <c r="B39" s="2"/>
      <c r="S39" s="2"/>
    </row>
    <row r="40" spans="1:19" ht="12.75">
      <c r="A40" s="2"/>
      <c r="B40" s="2" t="s">
        <v>9</v>
      </c>
      <c r="S40" s="2"/>
    </row>
    <row r="41" spans="1:19" ht="12.75">
      <c r="A41" s="2"/>
      <c r="B41" s="48" t="s">
        <v>43</v>
      </c>
      <c r="S41" s="2"/>
    </row>
    <row r="42" spans="1:19" ht="12.75">
      <c r="A42" s="2"/>
      <c r="B42" s="2"/>
      <c r="S42" s="2"/>
    </row>
    <row r="43" spans="1:19" ht="12.75">
      <c r="A43" s="2"/>
      <c r="B43" s="48" t="s">
        <v>44</v>
      </c>
      <c r="S43" s="2"/>
    </row>
    <row r="44" spans="1:19" ht="12.75">
      <c r="A44" s="2"/>
      <c r="B44" s="48" t="s">
        <v>45</v>
      </c>
      <c r="S44" s="2"/>
    </row>
  </sheetData>
  <sheetProtection/>
  <mergeCells count="17">
    <mergeCell ref="B3:P3"/>
    <mergeCell ref="B4:P4"/>
    <mergeCell ref="B6:P6"/>
    <mergeCell ref="B34:P34"/>
    <mergeCell ref="B37:P37"/>
    <mergeCell ref="B8:B10"/>
    <mergeCell ref="O9:P9"/>
    <mergeCell ref="C9:C10"/>
    <mergeCell ref="C8:D8"/>
    <mergeCell ref="E8:J8"/>
    <mergeCell ref="D9:D10"/>
    <mergeCell ref="E9:F9"/>
    <mergeCell ref="K9:L9"/>
    <mergeCell ref="G9:H9"/>
    <mergeCell ref="M9:N9"/>
    <mergeCell ref="I9:J9"/>
    <mergeCell ref="K8:P8"/>
  </mergeCells>
  <printOptions horizontalCentered="1"/>
  <pageMargins left="0" right="0" top="0" bottom="0" header="0.5118110236220472" footer="0.5118110236220472"/>
  <pageSetup fitToHeight="1" fitToWidth="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
    </sheetView>
  </sheetViews>
  <sheetFormatPr defaultColWidth="9.140625" defaultRowHeight="12.75"/>
  <cols>
    <col min="1" max="2" width="9.140625" style="0" customWidth="1"/>
    <col min="3" max="9" width="16.57421875" style="29" customWidth="1"/>
  </cols>
  <sheetData>
    <row r="1" spans="1:2" ht="12.75">
      <c r="A1" s="28"/>
      <c r="B1" s="28"/>
    </row>
    <row r="2" spans="1:2" ht="12.75">
      <c r="A2" s="28"/>
      <c r="B2" s="28"/>
    </row>
    <row r="3" spans="1:2" ht="12.75">
      <c r="A3" s="28"/>
      <c r="B3" s="28"/>
    </row>
    <row r="4" spans="1:2" ht="12.75">
      <c r="A4" s="28"/>
      <c r="B4" s="28"/>
    </row>
    <row r="5" spans="1:2" ht="12.75">
      <c r="A5" s="28"/>
      <c r="B5" s="28"/>
    </row>
    <row r="6" spans="1:2" ht="12.75">
      <c r="A6" s="28"/>
      <c r="B6" s="28"/>
    </row>
    <row r="7" spans="1:2" ht="12.75">
      <c r="A7" s="28"/>
      <c r="B7" s="28"/>
    </row>
    <row r="8" spans="1:2" ht="12.75">
      <c r="A8" s="28"/>
      <c r="B8" s="28"/>
    </row>
    <row r="9" spans="1:2" ht="12.75">
      <c r="A9" s="28"/>
      <c r="B9" s="28"/>
    </row>
    <row r="10" spans="1:2" ht="12.75">
      <c r="A10" s="28"/>
      <c r="B10" s="28"/>
    </row>
    <row r="11" spans="1:2" ht="12.75">
      <c r="A11" s="28"/>
      <c r="B11" s="28"/>
    </row>
    <row r="12" spans="1:9" ht="12.75">
      <c r="A12" s="28">
        <v>85</v>
      </c>
      <c r="B12" s="28">
        <v>3</v>
      </c>
      <c r="C12" s="29">
        <v>673853856.51</v>
      </c>
      <c r="D12" s="29">
        <v>227468451.26</v>
      </c>
      <c r="E12" s="29">
        <v>632838026.48</v>
      </c>
      <c r="F12" s="29">
        <v>251639950.25</v>
      </c>
      <c r="G12" s="29">
        <v>644646385.28</v>
      </c>
      <c r="H12" s="29">
        <v>255135474.51</v>
      </c>
      <c r="I12" s="29">
        <v>1776642817.8095</v>
      </c>
    </row>
    <row r="13" spans="1:9" ht="12.75">
      <c r="A13" s="28">
        <v>2</v>
      </c>
      <c r="B13" s="28">
        <v>3</v>
      </c>
      <c r="C13" s="29">
        <v>701473089.61</v>
      </c>
      <c r="D13" s="29">
        <v>901051649.41</v>
      </c>
      <c r="E13" s="29">
        <v>570446908.86</v>
      </c>
      <c r="F13" s="29">
        <v>947397072.34</v>
      </c>
      <c r="G13" s="29">
        <v>608850641.74</v>
      </c>
      <c r="H13" s="29">
        <v>949622268.68</v>
      </c>
      <c r="I13" s="29">
        <v>5705459882.8443</v>
      </c>
    </row>
    <row r="14" spans="1:9" ht="12.75">
      <c r="A14" s="28">
        <v>2</v>
      </c>
      <c r="B14" s="28">
        <v>1</v>
      </c>
      <c r="C14" s="29">
        <v>140874487.46</v>
      </c>
      <c r="D14" s="29">
        <v>19309445.57</v>
      </c>
      <c r="E14" s="29">
        <v>142051071.08</v>
      </c>
      <c r="F14" s="29">
        <v>19236420.19</v>
      </c>
      <c r="G14" s="29">
        <v>150056069.24</v>
      </c>
      <c r="H14" s="29">
        <v>18777073.47</v>
      </c>
      <c r="I14" s="29">
        <v>126852956.986</v>
      </c>
    </row>
    <row r="15" spans="1:9" ht="12.75">
      <c r="A15" s="28">
        <v>995</v>
      </c>
      <c r="B15" s="28">
        <v>0</v>
      </c>
      <c r="C15" s="29">
        <v>1439644694.78</v>
      </c>
      <c r="D15" s="29">
        <v>4156.67</v>
      </c>
      <c r="E15" s="29">
        <v>1443275738.06</v>
      </c>
      <c r="F15" s="29">
        <v>9580.42</v>
      </c>
      <c r="G15" s="29">
        <v>1462586232.77001</v>
      </c>
      <c r="H15" s="29">
        <v>23698.91</v>
      </c>
      <c r="I15" s="29">
        <v>225139.645</v>
      </c>
    </row>
    <row r="16" spans="1:9" ht="12.75">
      <c r="A16" s="28">
        <v>0</v>
      </c>
      <c r="B16" s="28">
        <v>0</v>
      </c>
      <c r="C16" s="29">
        <v>168984212.77</v>
      </c>
      <c r="D16" s="29">
        <v>110161342.81</v>
      </c>
      <c r="E16" s="29">
        <v>163348028.77</v>
      </c>
      <c r="F16" s="29">
        <v>116833848.06</v>
      </c>
      <c r="G16" s="29">
        <v>184155657.77</v>
      </c>
      <c r="H16" s="29">
        <v>140603104.09</v>
      </c>
      <c r="I16" s="29">
        <v>819410608.786</v>
      </c>
    </row>
    <row r="17" spans="1:9" ht="12.75">
      <c r="A17" s="28">
        <v>0</v>
      </c>
      <c r="B17" s="28">
        <v>0</v>
      </c>
      <c r="C17" s="29">
        <v>0</v>
      </c>
      <c r="D17" s="29">
        <v>0</v>
      </c>
      <c r="E17" s="29">
        <v>0</v>
      </c>
      <c r="F17" s="29">
        <v>0</v>
      </c>
      <c r="G17" s="29">
        <v>0</v>
      </c>
      <c r="H17" s="29">
        <v>0</v>
      </c>
      <c r="I17" s="29">
        <v>0</v>
      </c>
    </row>
    <row r="18" spans="1:9" ht="12.75">
      <c r="A18" s="28">
        <v>0</v>
      </c>
      <c r="B18" s="28">
        <v>0</v>
      </c>
      <c r="C18" s="29">
        <v>0</v>
      </c>
      <c r="D18" s="29">
        <v>0</v>
      </c>
      <c r="E18" s="29">
        <v>0</v>
      </c>
      <c r="F18" s="29">
        <v>0</v>
      </c>
      <c r="G18" s="29">
        <v>0</v>
      </c>
      <c r="H18" s="29">
        <v>0</v>
      </c>
      <c r="I18" s="29">
        <v>0</v>
      </c>
    </row>
    <row r="19" spans="1:9" ht="12.75">
      <c r="A19" s="28">
        <v>0</v>
      </c>
      <c r="B19" s="28">
        <v>0</v>
      </c>
      <c r="C19" s="29">
        <v>0</v>
      </c>
      <c r="D19" s="29">
        <v>0</v>
      </c>
      <c r="E19" s="29">
        <v>0</v>
      </c>
      <c r="F19" s="29">
        <v>0</v>
      </c>
      <c r="G19" s="29">
        <v>0</v>
      </c>
      <c r="H19" s="29">
        <v>0</v>
      </c>
      <c r="I19" s="29">
        <v>0</v>
      </c>
    </row>
    <row r="20" spans="1:9" ht="12.75">
      <c r="A20" s="28">
        <v>0</v>
      </c>
      <c r="B20" s="28">
        <v>0</v>
      </c>
      <c r="C20" s="29">
        <v>0</v>
      </c>
      <c r="D20" s="29">
        <v>0</v>
      </c>
      <c r="E20" s="29">
        <v>0</v>
      </c>
      <c r="F20" s="29">
        <v>0</v>
      </c>
      <c r="G20" s="29">
        <v>0</v>
      </c>
      <c r="H20" s="29">
        <v>0</v>
      </c>
      <c r="I20" s="29">
        <v>0</v>
      </c>
    </row>
    <row r="21" spans="1:9" ht="12.75">
      <c r="A21" s="28">
        <v>0</v>
      </c>
      <c r="B21" s="28">
        <v>0</v>
      </c>
      <c r="C21" s="29">
        <v>0</v>
      </c>
      <c r="D21" s="29">
        <v>0</v>
      </c>
      <c r="E21" s="29">
        <v>0</v>
      </c>
      <c r="F21" s="29">
        <v>0</v>
      </c>
      <c r="G21" s="29">
        <v>0</v>
      </c>
      <c r="H21" s="29">
        <v>0</v>
      </c>
      <c r="I21" s="29">
        <v>0</v>
      </c>
    </row>
    <row r="22" spans="1:9" ht="12.75">
      <c r="A22" s="28">
        <v>0</v>
      </c>
      <c r="B22" s="28">
        <v>0</v>
      </c>
      <c r="C22" s="29">
        <v>5899997</v>
      </c>
      <c r="D22" s="29">
        <v>0</v>
      </c>
      <c r="E22" s="29">
        <v>6899996</v>
      </c>
      <c r="F22" s="29">
        <v>0</v>
      </c>
      <c r="G22" s="29">
        <v>6899998</v>
      </c>
      <c r="H22" s="29">
        <v>0</v>
      </c>
      <c r="I22" s="29">
        <v>0</v>
      </c>
    </row>
    <row r="23" spans="1:9" ht="12.75">
      <c r="A23" s="28">
        <v>4</v>
      </c>
      <c r="B23" s="28">
        <v>4</v>
      </c>
      <c r="C23" s="29">
        <v>127646736.47</v>
      </c>
      <c r="D23" s="29">
        <v>852036625.75</v>
      </c>
      <c r="E23" s="29">
        <v>133197568.02</v>
      </c>
      <c r="F23" s="29">
        <v>845979204.8</v>
      </c>
      <c r="G23" s="29">
        <v>140084993.97</v>
      </c>
      <c r="H23" s="29">
        <v>815605077.48</v>
      </c>
      <c r="I23" s="29">
        <v>5842373640.8023</v>
      </c>
    </row>
    <row r="24" spans="1:9" ht="12.75">
      <c r="A24" s="28">
        <v>39</v>
      </c>
      <c r="B24" s="28">
        <v>16</v>
      </c>
      <c r="C24" s="29">
        <v>1555794378.94</v>
      </c>
      <c r="D24" s="29">
        <v>1732473489.88</v>
      </c>
      <c r="E24" s="29">
        <v>1582348580.82</v>
      </c>
      <c r="F24" s="29">
        <v>1746615814.7</v>
      </c>
      <c r="G24" s="29">
        <v>1643883298.93</v>
      </c>
      <c r="H24" s="29">
        <v>1777719030.67</v>
      </c>
      <c r="I24" s="29">
        <v>11683742087.8624</v>
      </c>
    </row>
    <row r="25" spans="1:9" ht="12.75">
      <c r="A25" s="28">
        <v>5</v>
      </c>
      <c r="B25" s="28">
        <v>0</v>
      </c>
      <c r="C25" s="29">
        <v>140261557.79</v>
      </c>
      <c r="D25" s="29">
        <v>118483315.37</v>
      </c>
      <c r="E25" s="29">
        <v>140264923.79</v>
      </c>
      <c r="F25" s="29">
        <v>115562716.18</v>
      </c>
      <c r="G25" s="29">
        <v>135097362.79</v>
      </c>
      <c r="H25" s="29">
        <v>114812552.21</v>
      </c>
      <c r="I25" s="29">
        <v>686750327.942</v>
      </c>
    </row>
    <row r="26" spans="1:9" ht="12.75">
      <c r="A26" s="28">
        <v>10</v>
      </c>
      <c r="B26" s="28">
        <v>0</v>
      </c>
      <c r="C26" s="29">
        <v>540697760.99</v>
      </c>
      <c r="D26" s="29">
        <v>0</v>
      </c>
      <c r="E26" s="29">
        <v>547101166.57</v>
      </c>
      <c r="F26" s="29">
        <v>0</v>
      </c>
      <c r="G26" s="29">
        <v>552586374.86</v>
      </c>
      <c r="H26" s="29">
        <v>0</v>
      </c>
      <c r="I26" s="29">
        <v>0</v>
      </c>
    </row>
    <row r="27" spans="1:9" ht="12.75">
      <c r="A27" s="28">
        <v>0</v>
      </c>
      <c r="B27" s="28">
        <v>0</v>
      </c>
      <c r="C27" s="29">
        <v>862988.42</v>
      </c>
      <c r="D27" s="29">
        <v>1875653.26</v>
      </c>
      <c r="E27" s="29">
        <v>866494.7</v>
      </c>
      <c r="F27" s="29">
        <v>1864688.33</v>
      </c>
      <c r="G27" s="29">
        <v>770000</v>
      </c>
      <c r="H27" s="29">
        <v>1811567.44</v>
      </c>
      <c r="I27" s="29">
        <v>12228080.22</v>
      </c>
    </row>
    <row r="28" spans="1:9" ht="12.75">
      <c r="A28" s="28">
        <v>126</v>
      </c>
      <c r="B28" s="28">
        <v>0</v>
      </c>
      <c r="C28" s="29">
        <v>221706998.3</v>
      </c>
      <c r="D28" s="29">
        <v>8762025.47</v>
      </c>
      <c r="E28" s="29">
        <v>203783149.73</v>
      </c>
      <c r="F28" s="29">
        <v>9336713.01</v>
      </c>
      <c r="G28" s="29">
        <v>203528125.5</v>
      </c>
      <c r="H28" s="29">
        <v>10716827.39</v>
      </c>
      <c r="I28" s="29">
        <v>63854275.2465</v>
      </c>
    </row>
    <row r="29" spans="1:9" ht="12.75">
      <c r="A29" s="28">
        <v>0</v>
      </c>
      <c r="B29" s="28">
        <v>0</v>
      </c>
      <c r="C29" s="29">
        <v>364208674.91</v>
      </c>
      <c r="D29" s="29">
        <v>438967072.64</v>
      </c>
      <c r="E29" s="29">
        <v>345006201.67</v>
      </c>
      <c r="F29" s="29">
        <v>449856974.67</v>
      </c>
      <c r="G29" s="29">
        <v>356769751.71</v>
      </c>
      <c r="H29" s="29">
        <v>444817346.7</v>
      </c>
      <c r="I29" s="29">
        <v>2701825862.2968</v>
      </c>
    </row>
    <row r="30" spans="1:9" ht="12.75">
      <c r="A30" s="28">
        <v>2</v>
      </c>
      <c r="B30" s="28">
        <v>0</v>
      </c>
      <c r="C30" s="29">
        <v>73608510.05</v>
      </c>
      <c r="D30" s="29">
        <v>48944107.2</v>
      </c>
      <c r="E30" s="29">
        <v>68921661.05</v>
      </c>
      <c r="F30" s="29">
        <v>47279815.62</v>
      </c>
      <c r="G30" s="29">
        <v>71902017.42</v>
      </c>
      <c r="H30" s="29">
        <v>48620569.75</v>
      </c>
      <c r="I30" s="29">
        <v>316157545.8664</v>
      </c>
    </row>
    <row r="31" spans="1:9" ht="12.75">
      <c r="A31" s="28">
        <v>325</v>
      </c>
      <c r="B31" s="28">
        <v>1</v>
      </c>
      <c r="C31" s="29">
        <v>320128656.68</v>
      </c>
      <c r="D31" s="29">
        <v>215697761.62</v>
      </c>
      <c r="E31" s="29">
        <v>323570739.79</v>
      </c>
      <c r="F31" s="29">
        <v>160692188.23</v>
      </c>
      <c r="G31" s="29">
        <v>313217515.06</v>
      </c>
      <c r="H31" s="29">
        <v>172405815.18</v>
      </c>
      <c r="I31" s="29">
        <v>540894973.9295</v>
      </c>
    </row>
  </sheetData>
  <sheetProtection/>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2016-04-15T07:42:13Z</cp:lastPrinted>
  <dcterms:modified xsi:type="dcterms:W3CDTF">2016-04-19T12:02:45Z</dcterms:modified>
  <cp:category/>
  <cp:version/>
  <cp:contentType/>
  <cp:contentStatus/>
</cp:coreProperties>
</file>