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60" activeTab="0"/>
  </bookViews>
  <sheets>
    <sheet name="Sheet1" sheetId="1" r:id="rId1"/>
    <sheet name="Sheet2" sheetId="2" state="hidden" r:id="rId2"/>
  </sheets>
  <definedNames/>
  <calcPr fullCalcOnLoad="1" iterate="1" iterateCount="100" iterateDelta="0.001"/>
</workbook>
</file>

<file path=xl/sharedStrings.xml><?xml version="1.0" encoding="utf-8"?>
<sst xmlns="http://schemas.openxmlformats.org/spreadsheetml/2006/main" count="60" uniqueCount="47">
  <si>
    <t>Credite acordate in domeniul transportului, telecomunicatiilor si dezvoltarii retelei</t>
  </si>
  <si>
    <t>Creditele care imbina forme de acord REPO, plasari-garantii, leasing financiar sunt clasificate conform caracteristicilor grupelor de conturi mentionate in anexa nr.12 din Instructiunea privind modul de intocmire si prezentare de catre banci a rapoartelor in scopuri prudentiale.</t>
  </si>
  <si>
    <t xml:space="preserve">Credite acordate industriei alimentare </t>
  </si>
  <si>
    <t>Credite acordate de consum****</t>
  </si>
  <si>
    <t>**** credite acordate persoanelor fizice care nu practica activitate de intreprinzator.</t>
  </si>
  <si>
    <t>lunii gestionare</t>
  </si>
  <si>
    <t>Credite acordate bancilor</t>
  </si>
  <si>
    <t>Credite acordate in domeniul prestarii serviciilor</t>
  </si>
  <si>
    <t>Semnaturile:</t>
  </si>
  <si>
    <t>Credite acordate comertului</t>
  </si>
  <si>
    <t xml:space="preserve"> Portofoliul de credite, mii lei, sold la sfirsitul </t>
  </si>
  <si>
    <t>Alte credite acordate ***</t>
  </si>
  <si>
    <t xml:space="preserve">Credite acordate in domeniul constructiilor </t>
  </si>
  <si>
    <t>** se calculeaza conform pct.4 din Instructiunea privind raportarea ratelor dobanzilor aplicate de bancile din R.Moldova.</t>
  </si>
  <si>
    <t xml:space="preserve"> Nota:  Informatia este dezvaluita, conform cerintelor expuse in Regulamentul cu privire la dezvaluirea de catre bancile din R.Moldova a informatiei aferente activitatilor lor. </t>
  </si>
  <si>
    <t>Credite acordate organizatiilor necomerciale</t>
  </si>
  <si>
    <t>Informatia privind creditele</t>
  </si>
  <si>
    <t>Anexa 2</t>
  </si>
  <si>
    <t>Credite acordate persoanelor fizice care practica activitate de intreprinzator</t>
  </si>
  <si>
    <t>acordate in valuta striina *</t>
  </si>
  <si>
    <t>a BC "Moldova-Agroindbank" S.A.</t>
  </si>
  <si>
    <t>in MDL</t>
  </si>
  <si>
    <t>lunii precedente celei gestionare</t>
  </si>
  <si>
    <t>Credite acordate industriei productive</t>
  </si>
  <si>
    <t>Credite acordate institutiilor finantate de la bugetul de stat</t>
  </si>
  <si>
    <t>Creditele overnight acordate bancilor</t>
  </si>
  <si>
    <t>acordate in MDL</t>
  </si>
  <si>
    <t>Credite acordate agriculturii</t>
  </si>
  <si>
    <t>Credite acordate industriei energetice</t>
  </si>
  <si>
    <t xml:space="preserve">Credite acordate unitatilor administrativ teritoriale/institutiilor subordonate unitatilor administrativ teritoriale </t>
  </si>
  <si>
    <t>Presedintele Comitetului de Conducere al bancii  ______________________________</t>
  </si>
  <si>
    <t>Credite acordate mediului financiar nebancar</t>
  </si>
  <si>
    <t>Tipul de credit</t>
  </si>
  <si>
    <t>A</t>
  </si>
  <si>
    <t>Credite acordate pentru procurarea/construirea imobilului ****</t>
  </si>
  <si>
    <t>anului precedent celui gestionar</t>
  </si>
  <si>
    <t>Rata medie a dobanzii aferenta soldurilor creditelor **,                                    %, la sfirsitul</t>
  </si>
  <si>
    <t>Nr. creditelor acordate in perioada lunii gestionare</t>
  </si>
  <si>
    <t>*** creditele acordate persoanelor fizice cu exceptia persoanelor fizice care practica activitate, sunt clasificate la  "Alte credite acordate", conform caracteristicilor grupei de conturi 1490, 1510 si altele, care nu au fost reflectate in celelalte tipuri de credit.</t>
  </si>
  <si>
    <t>in valuta straina</t>
  </si>
  <si>
    <t>* sumele creditelor in valuta straina se recalculeaza la cursul oficial al leului moldovenesc valabil la data gestionara.</t>
  </si>
  <si>
    <t>Credite acordate CNAS/CNAM</t>
  </si>
  <si>
    <t>Credite acordate Guvernului</t>
  </si>
  <si>
    <t>S.Cebotari</t>
  </si>
  <si>
    <t>Executorul si numarul telefonului        F.Plugaru, 0-22-24-43-54</t>
  </si>
  <si>
    <t>Data perfectarii 17.09.2015</t>
  </si>
  <si>
    <t>la situatia  31.08.2015</t>
  </si>
</sst>
</file>

<file path=xl/styles.xml><?xml version="1.0" encoding="utf-8"?>
<styleSheet xmlns="http://schemas.openxmlformats.org/spreadsheetml/2006/main">
  <numFmts count="1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 _-#,##0\ &quot;Lei&quot;;* \-#,##0\ &quot;Lei&quot;;* _-&quot;-&quot;\ &quot;Lei&quot;;@"/>
    <numFmt numFmtId="165" formatCode="* #,##0;* \-#,##0;* &quot;-&quot;;@"/>
    <numFmt numFmtId="166" formatCode="* _-#,##0.00\ &quot;Lei&quot;;* \-#,##0.00\ &quot;Lei&quot;;* _-&quot;-&quot;??\ &quot;Lei&quot;;@"/>
    <numFmt numFmtId="167" formatCode="* #,##0.00;* \-#,##0.00;* &quot;-&quot;??;@"/>
    <numFmt numFmtId="168" formatCode="\$#,##0_);\(\$#,##0\)"/>
    <numFmt numFmtId="169" formatCode="\$#,##0_);[Red]\(\$#,##0\)"/>
    <numFmt numFmtId="170" formatCode="\$#,##0.00_);\(\$#,##0.00\)"/>
    <numFmt numFmtId="171" formatCode="\$#,##0.00_);[Red]\(\$#,##0.00\)"/>
    <numFmt numFmtId="172" formatCode="* _-&quot;$&quot;#,##0;* \-&quot;$&quot;#,##0;* _-&quot;$&quot;&quot;-&quot;;@"/>
    <numFmt numFmtId="173" formatCode="* _-&quot;$&quot;#,##0.00;* \-&quot;$&quot;#,##0.00;* _-&quot;$&quot;&quot;-&quot;??;@"/>
    <numFmt numFmtId="174" formatCode="#0"/>
  </numFmts>
  <fonts count="40">
    <font>
      <sz val="10"/>
      <name val="Arial"/>
      <family val="0"/>
    </font>
    <font>
      <b/>
      <sz val="10"/>
      <name val="Arial"/>
      <family val="0"/>
    </font>
    <font>
      <i/>
      <sz val="10"/>
      <name val="Arial"/>
      <family val="0"/>
    </font>
    <font>
      <b/>
      <i/>
      <sz val="10"/>
      <name val="Arial"/>
      <family val="0"/>
    </font>
    <font>
      <sz val="10"/>
      <name val="Times New Roman"/>
      <family val="0"/>
    </font>
    <font>
      <b/>
      <sz val="10"/>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style="thin"/>
      <top>
        <color indexed="63"/>
      </top>
      <bottom style="medium"/>
    </border>
    <border>
      <left style="thin"/>
      <right style="thin"/>
      <top style="medium"/>
      <bottom style="medium"/>
    </border>
    <border>
      <left style="thin"/>
      <right style="thin"/>
      <top style="medium"/>
      <bottom>
        <color indexed="63"/>
      </bottom>
    </border>
    <border>
      <left style="thin"/>
      <right style="medium"/>
      <top>
        <color indexed="63"/>
      </top>
      <bottom>
        <color indexed="63"/>
      </botto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medium"/>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medium"/>
      <top style="medium"/>
      <bottom style="thin"/>
    </border>
    <border>
      <left style="medium"/>
      <right>
        <color indexed="63"/>
      </right>
      <top style="medium"/>
      <bottom style="medium"/>
    </border>
    <border>
      <left style="thin"/>
      <right style="medium"/>
      <top>
        <color indexed="63"/>
      </top>
      <bottom style="thin"/>
    </border>
    <border>
      <left style="medium"/>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67" fontId="1" fillId="0" borderId="0" applyFont="0" applyFill="0" applyBorder="0" applyAlignment="0" applyProtection="0"/>
    <xf numFmtId="165" fontId="1" fillId="0" borderId="0" applyFon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5">
    <xf numFmtId="0" fontId="0" fillId="0" borderId="0" xfId="0" applyAlignment="1">
      <alignment/>
    </xf>
    <xf numFmtId="0" fontId="4" fillId="0" borderId="0" xfId="0" applyFont="1" applyAlignment="1">
      <alignment/>
    </xf>
    <xf numFmtId="0" fontId="4" fillId="0" borderId="0" xfId="0" applyNumberFormat="1" applyFont="1" applyAlignment="1">
      <alignment/>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5" fillId="0" borderId="17" xfId="0" applyNumberFormat="1" applyFont="1" applyFill="1" applyBorder="1" applyAlignment="1" applyProtection="1">
      <alignment horizontal="center"/>
      <protection/>
    </xf>
    <xf numFmtId="0" fontId="5" fillId="0" borderId="18" xfId="0" applyNumberFormat="1" applyFont="1" applyFill="1" applyBorder="1" applyAlignment="1" applyProtection="1">
      <alignment horizontal="center"/>
      <protection/>
    </xf>
    <xf numFmtId="0" fontId="4" fillId="0" borderId="19" xfId="0" applyNumberFormat="1" applyFont="1" applyFill="1" applyBorder="1" applyAlignment="1" applyProtection="1">
      <alignment wrapText="1"/>
      <protection/>
    </xf>
    <xf numFmtId="2" fontId="4" fillId="0" borderId="20" xfId="0" applyNumberFormat="1" applyFont="1" applyFill="1" applyBorder="1" applyAlignment="1" applyProtection="1">
      <alignment/>
      <protection/>
    </xf>
    <xf numFmtId="2" fontId="4" fillId="0" borderId="21" xfId="0" applyNumberFormat="1" applyFont="1" applyFill="1" applyBorder="1" applyAlignment="1" applyProtection="1">
      <alignment/>
      <protection/>
    </xf>
    <xf numFmtId="2" fontId="4" fillId="0" borderId="22" xfId="0" applyNumberFormat="1" applyFont="1" applyFill="1" applyBorder="1" applyAlignment="1" applyProtection="1">
      <alignment/>
      <protection/>
    </xf>
    <xf numFmtId="0" fontId="4" fillId="0" borderId="23" xfId="0" applyNumberFormat="1" applyFont="1" applyFill="1" applyBorder="1" applyAlignment="1" applyProtection="1">
      <alignment wrapText="1"/>
      <protection/>
    </xf>
    <xf numFmtId="2" fontId="4" fillId="0" borderId="24" xfId="0" applyNumberFormat="1" applyFont="1" applyFill="1" applyBorder="1" applyAlignment="1" applyProtection="1">
      <alignment/>
      <protection/>
    </xf>
    <xf numFmtId="2" fontId="4" fillId="0" borderId="25" xfId="0" applyNumberFormat="1" applyFont="1" applyFill="1" applyBorder="1" applyAlignment="1" applyProtection="1">
      <alignment/>
      <protection/>
    </xf>
    <xf numFmtId="2" fontId="4" fillId="0" borderId="26" xfId="0" applyNumberFormat="1" applyFont="1" applyFill="1" applyBorder="1" applyAlignment="1" applyProtection="1">
      <alignment/>
      <protection/>
    </xf>
    <xf numFmtId="2" fontId="4" fillId="0" borderId="27" xfId="0" applyNumberFormat="1" applyFont="1" applyFill="1" applyBorder="1" applyAlignment="1" applyProtection="1">
      <alignment/>
      <protection/>
    </xf>
    <xf numFmtId="2" fontId="4" fillId="0" borderId="10" xfId="0" applyNumberFormat="1" applyFont="1" applyFill="1" applyBorder="1" applyAlignment="1" applyProtection="1">
      <alignment/>
      <protection/>
    </xf>
    <xf numFmtId="2" fontId="4" fillId="0" borderId="28" xfId="0" applyNumberFormat="1" applyFont="1" applyFill="1" applyBorder="1" applyAlignment="1" applyProtection="1">
      <alignment/>
      <protection/>
    </xf>
    <xf numFmtId="0" fontId="4" fillId="0" borderId="29" xfId="0" applyNumberFormat="1" applyFont="1" applyFill="1" applyBorder="1" applyAlignment="1" applyProtection="1">
      <alignment wrapText="1"/>
      <protection/>
    </xf>
    <xf numFmtId="2" fontId="4" fillId="0" borderId="30" xfId="0" applyNumberFormat="1" applyFont="1" applyFill="1" applyBorder="1" applyAlignment="1" applyProtection="1">
      <alignment/>
      <protection/>
    </xf>
    <xf numFmtId="2" fontId="4" fillId="0" borderId="31" xfId="0" applyNumberFormat="1" applyFont="1" applyFill="1" applyBorder="1" applyAlignment="1" applyProtection="1">
      <alignment/>
      <protection/>
    </xf>
    <xf numFmtId="2" fontId="4" fillId="0" borderId="32" xfId="0" applyNumberFormat="1" applyFont="1" applyFill="1" applyBorder="1" applyAlignment="1" applyProtection="1">
      <alignment/>
      <protection/>
    </xf>
    <xf numFmtId="0" fontId="5" fillId="0" borderId="0" xfId="0" applyNumberFormat="1" applyFont="1" applyAlignment="1">
      <alignment/>
    </xf>
    <xf numFmtId="0" fontId="0" fillId="0" borderId="0" xfId="0" applyNumberFormat="1" applyAlignment="1">
      <alignment/>
    </xf>
    <xf numFmtId="174" fontId="0" fillId="0" borderId="0" xfId="0" applyNumberFormat="1" applyAlignment="1">
      <alignment/>
    </xf>
    <xf numFmtId="4" fontId="4" fillId="0" borderId="0" xfId="0" applyNumberFormat="1" applyFont="1" applyAlignment="1">
      <alignment/>
    </xf>
    <xf numFmtId="3" fontId="4" fillId="0" borderId="33" xfId="0" applyNumberFormat="1" applyFont="1" applyBorder="1" applyAlignment="1">
      <alignment/>
    </xf>
    <xf numFmtId="3" fontId="4" fillId="0" borderId="34" xfId="0" applyNumberFormat="1" applyFont="1" applyBorder="1" applyAlignment="1">
      <alignment/>
    </xf>
    <xf numFmtId="3" fontId="4" fillId="0" borderId="20" xfId="0" applyNumberFormat="1" applyFont="1" applyFill="1" applyBorder="1" applyAlignment="1" applyProtection="1">
      <alignment/>
      <protection/>
    </xf>
    <xf numFmtId="3" fontId="4" fillId="0" borderId="21" xfId="0" applyNumberFormat="1" applyFont="1" applyFill="1" applyBorder="1" applyAlignment="1" applyProtection="1">
      <alignment/>
      <protection/>
    </xf>
    <xf numFmtId="3" fontId="4" fillId="0" borderId="35" xfId="0" applyNumberFormat="1" applyFont="1" applyBorder="1" applyAlignment="1">
      <alignment/>
    </xf>
    <xf numFmtId="3" fontId="4" fillId="0" borderId="25" xfId="0" applyNumberFormat="1" applyFont="1" applyBorder="1" applyAlignment="1">
      <alignment/>
    </xf>
    <xf numFmtId="3" fontId="4" fillId="0" borderId="24" xfId="0" applyNumberFormat="1" applyFont="1" applyFill="1" applyBorder="1" applyAlignment="1" applyProtection="1">
      <alignment/>
      <protection/>
    </xf>
    <xf numFmtId="3" fontId="4" fillId="0" borderId="25" xfId="0" applyNumberFormat="1" applyFont="1" applyFill="1" applyBorder="1" applyAlignment="1" applyProtection="1">
      <alignment/>
      <protection/>
    </xf>
    <xf numFmtId="3" fontId="4" fillId="0" borderId="36" xfId="0" applyNumberFormat="1" applyFont="1" applyBorder="1" applyAlignment="1">
      <alignment/>
    </xf>
    <xf numFmtId="3" fontId="4" fillId="0" borderId="10" xfId="0" applyNumberFormat="1" applyFont="1" applyBorder="1" applyAlignment="1">
      <alignment/>
    </xf>
    <xf numFmtId="3" fontId="4" fillId="0" borderId="27" xfId="0" applyNumberFormat="1" applyFont="1" applyFill="1" applyBorder="1" applyAlignment="1" applyProtection="1">
      <alignment/>
      <protection/>
    </xf>
    <xf numFmtId="3" fontId="4" fillId="0" borderId="10" xfId="0" applyNumberFormat="1" applyFont="1" applyFill="1" applyBorder="1" applyAlignment="1" applyProtection="1">
      <alignment/>
      <protection/>
    </xf>
    <xf numFmtId="3" fontId="4" fillId="0" borderId="37" xfId="0" applyNumberFormat="1" applyFont="1" applyFill="1" applyBorder="1" applyAlignment="1" applyProtection="1">
      <alignment/>
      <protection/>
    </xf>
    <xf numFmtId="3" fontId="4" fillId="0" borderId="31" xfId="0" applyNumberFormat="1" applyFont="1" applyFill="1" applyBorder="1" applyAlignment="1" applyProtection="1">
      <alignment/>
      <protection/>
    </xf>
    <xf numFmtId="3" fontId="4" fillId="0" borderId="30" xfId="0" applyNumberFormat="1" applyFont="1" applyFill="1" applyBorder="1" applyAlignment="1" applyProtection="1">
      <alignment/>
      <protection/>
    </xf>
    <xf numFmtId="0" fontId="4" fillId="0" borderId="0" xfId="0" applyFont="1" applyAlignment="1">
      <alignment/>
    </xf>
    <xf numFmtId="0" fontId="4" fillId="0" borderId="0" xfId="0" applyNumberFormat="1" applyFont="1" applyAlignment="1">
      <alignment/>
    </xf>
    <xf numFmtId="0" fontId="5" fillId="0" borderId="20" xfId="0" applyNumberFormat="1" applyFont="1" applyFill="1" applyBorder="1" applyAlignment="1" applyProtection="1">
      <alignment horizontal="center" vertical="center" wrapText="1"/>
      <protection/>
    </xf>
    <xf numFmtId="0" fontId="5" fillId="0" borderId="38" xfId="0" applyNumberFormat="1" applyFont="1" applyFill="1" applyBorder="1" applyAlignment="1" applyProtection="1">
      <alignment horizontal="center" vertical="center" wrapText="1"/>
      <protection/>
    </xf>
    <xf numFmtId="0" fontId="5" fillId="0" borderId="39" xfId="0" applyNumberFormat="1" applyFont="1" applyFill="1" applyBorder="1" applyAlignment="1" applyProtection="1">
      <alignment horizontal="center" vertical="center" wrapText="1"/>
      <protection/>
    </xf>
    <xf numFmtId="0" fontId="5" fillId="0" borderId="34" xfId="0" applyNumberFormat="1" applyFont="1" applyFill="1" applyBorder="1" applyAlignment="1" applyProtection="1">
      <alignment horizontal="center" vertical="center"/>
      <protection/>
    </xf>
    <xf numFmtId="0" fontId="5" fillId="0" borderId="40" xfId="0" applyNumberFormat="1" applyFont="1" applyFill="1" applyBorder="1" applyAlignment="1" applyProtection="1">
      <alignment horizontal="center" vertical="center"/>
      <protection/>
    </xf>
    <xf numFmtId="0" fontId="5" fillId="0" borderId="34"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0" fontId="5" fillId="0" borderId="4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wrapText="1"/>
      <protection/>
    </xf>
    <xf numFmtId="0" fontId="5" fillId="0" borderId="4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37" xfId="0" applyNumberFormat="1" applyFont="1" applyFill="1" applyBorder="1" applyAlignment="1" applyProtection="1">
      <alignment horizontal="center" vertical="center"/>
      <protection/>
    </xf>
    <xf numFmtId="0" fontId="5" fillId="0" borderId="44" xfId="0" applyNumberFormat="1"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4"/>
  <sheetViews>
    <sheetView tabSelected="1" zoomScalePageLayoutView="0" workbookViewId="0" topLeftCell="A13">
      <selection activeCell="B6" sqref="B6:P6"/>
    </sheetView>
  </sheetViews>
  <sheetFormatPr defaultColWidth="9.140625" defaultRowHeight="12.75"/>
  <cols>
    <col min="1" max="1" width="5.140625" style="1" customWidth="1"/>
    <col min="2" max="2" width="51.00390625" style="1" customWidth="1"/>
    <col min="3" max="4" width="8.57421875" style="1" customWidth="1"/>
    <col min="5" max="16384" width="9.140625" style="1" customWidth="1"/>
  </cols>
  <sheetData>
    <row r="1" spans="1:19" ht="12.75">
      <c r="A1" s="2"/>
      <c r="B1" s="2"/>
      <c r="C1" s="2"/>
      <c r="D1" s="2"/>
      <c r="E1" s="2"/>
      <c r="J1" s="2"/>
      <c r="K1" s="2"/>
      <c r="N1" s="2"/>
      <c r="O1" s="2"/>
      <c r="P1" s="2"/>
      <c r="S1" s="2"/>
    </row>
    <row r="2" spans="1:19" ht="12.75">
      <c r="A2" s="2"/>
      <c r="B2" s="2"/>
      <c r="C2" s="2"/>
      <c r="D2" s="30"/>
      <c r="E2" s="2"/>
      <c r="J2" s="2"/>
      <c r="K2" s="2"/>
      <c r="P2" s="2" t="s">
        <v>17</v>
      </c>
      <c r="S2" s="2"/>
    </row>
    <row r="3" spans="1:19" ht="12.75">
      <c r="A3" s="2"/>
      <c r="B3" s="57" t="s">
        <v>16</v>
      </c>
      <c r="C3" s="57"/>
      <c r="D3" s="57"/>
      <c r="E3" s="57"/>
      <c r="F3" s="57"/>
      <c r="G3" s="57"/>
      <c r="H3" s="57"/>
      <c r="I3" s="57"/>
      <c r="J3" s="57"/>
      <c r="K3" s="57"/>
      <c r="L3" s="57"/>
      <c r="M3" s="57"/>
      <c r="N3" s="57"/>
      <c r="O3" s="57"/>
      <c r="P3" s="57"/>
      <c r="S3" s="2"/>
    </row>
    <row r="4" spans="1:19" ht="12.75">
      <c r="A4" s="2"/>
      <c r="B4" s="57" t="s">
        <v>20</v>
      </c>
      <c r="C4" s="57"/>
      <c r="D4" s="57"/>
      <c r="E4" s="57"/>
      <c r="F4" s="57"/>
      <c r="G4" s="57"/>
      <c r="H4" s="57"/>
      <c r="I4" s="57"/>
      <c r="J4" s="57"/>
      <c r="K4" s="57"/>
      <c r="L4" s="57"/>
      <c r="M4" s="57"/>
      <c r="N4" s="57"/>
      <c r="O4" s="57"/>
      <c r="P4" s="57"/>
      <c r="S4" s="2"/>
    </row>
    <row r="5" spans="1:19" ht="12.75">
      <c r="A5" s="2"/>
      <c r="B5" s="2"/>
      <c r="S5" s="2"/>
    </row>
    <row r="6" spans="1:19" ht="12.75">
      <c r="A6" s="2"/>
      <c r="B6" s="57" t="s">
        <v>46</v>
      </c>
      <c r="C6" s="57"/>
      <c r="D6" s="57"/>
      <c r="E6" s="57"/>
      <c r="F6" s="57"/>
      <c r="G6" s="57"/>
      <c r="H6" s="57"/>
      <c r="I6" s="57"/>
      <c r="J6" s="57"/>
      <c r="K6" s="57"/>
      <c r="L6" s="57"/>
      <c r="M6" s="57"/>
      <c r="N6" s="57"/>
      <c r="O6" s="57"/>
      <c r="P6" s="57"/>
      <c r="S6" s="2"/>
    </row>
    <row r="7" spans="1:19" ht="12.75">
      <c r="A7" s="2"/>
      <c r="B7" s="2"/>
      <c r="S7" s="2"/>
    </row>
    <row r="8" spans="1:19" ht="57.75" customHeight="1">
      <c r="A8" s="2"/>
      <c r="B8" s="59" t="s">
        <v>32</v>
      </c>
      <c r="C8" s="64" t="s">
        <v>37</v>
      </c>
      <c r="D8" s="64"/>
      <c r="E8" s="48" t="s">
        <v>10</v>
      </c>
      <c r="F8" s="48"/>
      <c r="G8" s="48"/>
      <c r="H8" s="48"/>
      <c r="I8" s="48"/>
      <c r="J8" s="48"/>
      <c r="K8" s="56" t="s">
        <v>36</v>
      </c>
      <c r="L8" s="56"/>
      <c r="M8" s="56"/>
      <c r="N8" s="56"/>
      <c r="O8" s="56"/>
      <c r="P8" s="56"/>
      <c r="S8" s="2"/>
    </row>
    <row r="9" spans="1:19" ht="12.75">
      <c r="A9" s="2"/>
      <c r="B9" s="59"/>
      <c r="C9" s="62" t="s">
        <v>21</v>
      </c>
      <c r="D9" s="49" t="s">
        <v>39</v>
      </c>
      <c r="E9" s="51" t="s">
        <v>5</v>
      </c>
      <c r="F9" s="52"/>
      <c r="G9" s="53" t="s">
        <v>22</v>
      </c>
      <c r="H9" s="54"/>
      <c r="I9" s="55" t="s">
        <v>35</v>
      </c>
      <c r="J9" s="54"/>
      <c r="K9" s="51" t="s">
        <v>5</v>
      </c>
      <c r="L9" s="52"/>
      <c r="M9" s="53" t="s">
        <v>22</v>
      </c>
      <c r="N9" s="49"/>
      <c r="O9" s="61" t="s">
        <v>35</v>
      </c>
      <c r="P9" s="61"/>
      <c r="S9" s="2"/>
    </row>
    <row r="10" spans="1:19" ht="38.25">
      <c r="A10" s="2"/>
      <c r="B10" s="60"/>
      <c r="C10" s="63"/>
      <c r="D10" s="50"/>
      <c r="E10" s="3" t="s">
        <v>26</v>
      </c>
      <c r="F10" s="4" t="s">
        <v>19</v>
      </c>
      <c r="G10" s="4" t="s">
        <v>26</v>
      </c>
      <c r="H10" s="4" t="s">
        <v>19</v>
      </c>
      <c r="I10" s="4" t="s">
        <v>26</v>
      </c>
      <c r="J10" s="4" t="s">
        <v>19</v>
      </c>
      <c r="K10" s="4" t="s">
        <v>26</v>
      </c>
      <c r="L10" s="4" t="s">
        <v>19</v>
      </c>
      <c r="M10" s="4" t="s">
        <v>26</v>
      </c>
      <c r="N10" s="4" t="s">
        <v>19</v>
      </c>
      <c r="O10" s="5" t="s">
        <v>26</v>
      </c>
      <c r="P10" s="6" t="s">
        <v>19</v>
      </c>
      <c r="S10" s="2"/>
    </row>
    <row r="11" spans="1:19" ht="12.75">
      <c r="A11" s="2"/>
      <c r="B11" s="7" t="s">
        <v>33</v>
      </c>
      <c r="C11" s="8">
        <v>1</v>
      </c>
      <c r="D11" s="9">
        <v>2</v>
      </c>
      <c r="E11" s="10">
        <v>3</v>
      </c>
      <c r="F11" s="10">
        <v>4</v>
      </c>
      <c r="G11" s="10">
        <v>5</v>
      </c>
      <c r="H11" s="10">
        <v>6</v>
      </c>
      <c r="I11" s="10">
        <v>7</v>
      </c>
      <c r="J11" s="10">
        <v>8</v>
      </c>
      <c r="K11" s="10">
        <v>9</v>
      </c>
      <c r="L11" s="10">
        <v>10</v>
      </c>
      <c r="M11" s="10">
        <v>11</v>
      </c>
      <c r="N11" s="10">
        <v>12</v>
      </c>
      <c r="O11" s="10">
        <v>13</v>
      </c>
      <c r="P11" s="11">
        <v>14</v>
      </c>
      <c r="S11" s="2"/>
    </row>
    <row r="12" spans="1:19" ht="12.75">
      <c r="A12" s="2"/>
      <c r="B12" s="12" t="s">
        <v>27</v>
      </c>
      <c r="C12" s="31">
        <f>17</f>
        <v>17</v>
      </c>
      <c r="D12" s="32">
        <f>2</f>
        <v>2</v>
      </c>
      <c r="E12" s="33">
        <f>821476774.35/1000</f>
        <v>821476.7743500001</v>
      </c>
      <c r="F12" s="33">
        <f>264487097.4/1000</f>
        <v>264487.0974</v>
      </c>
      <c r="G12" s="33">
        <f>813730859.99/1000</f>
        <v>813730.85999</v>
      </c>
      <c r="H12" s="33">
        <f>250286720.77/1000</f>
        <v>250286.72077</v>
      </c>
      <c r="I12" s="33">
        <f>733112441.65/1000</f>
        <v>733112.4416499999</v>
      </c>
      <c r="J12" s="34">
        <f>169556114.19/1000</f>
        <v>169556.11419</v>
      </c>
      <c r="K12" s="13">
        <v>12.0737071033809</v>
      </c>
      <c r="L12" s="13">
        <v>7.19206381294916</v>
      </c>
      <c r="M12" s="13">
        <v>11.619402079965</v>
      </c>
      <c r="N12" s="13">
        <v>7.2029830150657</v>
      </c>
      <c r="O12" s="14">
        <v>9.8297684359324</v>
      </c>
      <c r="P12" s="15">
        <v>6.45881376265574</v>
      </c>
      <c r="S12" s="2"/>
    </row>
    <row r="13" spans="1:19" ht="12.75">
      <c r="A13" s="2"/>
      <c r="B13" s="16" t="s">
        <v>2</v>
      </c>
      <c r="C13" s="35">
        <f>1</f>
        <v>1</v>
      </c>
      <c r="D13" s="36">
        <f>3</f>
        <v>3</v>
      </c>
      <c r="E13" s="37">
        <f>608901547.59/1000</f>
        <v>608901.5475900001</v>
      </c>
      <c r="F13" s="37">
        <f>846400661.65/1000</f>
        <v>846400.66165</v>
      </c>
      <c r="G13" s="37">
        <f>611265320.52/1000</f>
        <v>611265.32052</v>
      </c>
      <c r="H13" s="37">
        <f>805350510.14/1000</f>
        <v>805350.51014</v>
      </c>
      <c r="I13" s="37">
        <f>669988575.23/1000</f>
        <v>669988.5752300001</v>
      </c>
      <c r="J13" s="38">
        <f>702316171.1/1000</f>
        <v>702316.1711</v>
      </c>
      <c r="K13" s="17">
        <v>12.974205466459</v>
      </c>
      <c r="L13" s="17">
        <v>6.2311492962144</v>
      </c>
      <c r="M13" s="17">
        <v>12.8302297084117</v>
      </c>
      <c r="N13" s="17">
        <v>6.28529772317107</v>
      </c>
      <c r="O13" s="18">
        <v>10.1469675039305</v>
      </c>
      <c r="P13" s="19">
        <v>6.61043990850348</v>
      </c>
      <c r="S13" s="2"/>
    </row>
    <row r="14" spans="1:19" ht="12.75">
      <c r="A14" s="2"/>
      <c r="B14" s="16" t="s">
        <v>12</v>
      </c>
      <c r="C14" s="35">
        <f>2</f>
        <v>2</v>
      </c>
      <c r="D14" s="36">
        <f>0</f>
        <v>0</v>
      </c>
      <c r="E14" s="37">
        <f>122782276.52/1000</f>
        <v>122782.27652</v>
      </c>
      <c r="F14" s="37">
        <f>9913233.27/1000</f>
        <v>9913.233269999999</v>
      </c>
      <c r="G14" s="37">
        <f>123279343.94/1000</f>
        <v>123279.34393999999</v>
      </c>
      <c r="H14" s="37">
        <f>8181252.92/1000</f>
        <v>8181.25292</v>
      </c>
      <c r="I14" s="37">
        <f>98026015.01/1000</f>
        <v>98026.01501</v>
      </c>
      <c r="J14" s="38">
        <f>99393.19/1000</f>
        <v>99.39319</v>
      </c>
      <c r="K14" s="17">
        <v>13.6643257970682</v>
      </c>
      <c r="L14" s="17">
        <v>6.69542090751184</v>
      </c>
      <c r="M14" s="17">
        <v>13.4938718073048</v>
      </c>
      <c r="N14" s="17">
        <v>6.67947051886278</v>
      </c>
      <c r="O14" s="18">
        <v>11.202311534346</v>
      </c>
      <c r="P14" s="19">
        <v>3.31339357857415</v>
      </c>
      <c r="S14" s="2"/>
    </row>
    <row r="15" spans="1:19" ht="12.75">
      <c r="A15" s="2"/>
      <c r="B15" s="16" t="s">
        <v>3</v>
      </c>
      <c r="C15" s="35">
        <f>1291</f>
        <v>1291</v>
      </c>
      <c r="D15" s="36">
        <f>0</f>
        <v>0</v>
      </c>
      <c r="E15" s="37">
        <f>1520672903.18/1000</f>
        <v>1520672.9031800001</v>
      </c>
      <c r="F15" s="37">
        <f>62490.62/1000</f>
        <v>62.49062</v>
      </c>
      <c r="G15" s="37">
        <f>1520620445.17/1000</f>
        <v>1520620.44517</v>
      </c>
      <c r="H15" s="37">
        <f>75578.59/1000</f>
        <v>75.57858999999999</v>
      </c>
      <c r="I15" s="37">
        <f>1443268811.37/1000</f>
        <v>1443268.8113699998</v>
      </c>
      <c r="J15" s="38">
        <f>244698/1000</f>
        <v>244.698</v>
      </c>
      <c r="K15" s="17">
        <v>12.9008391100455</v>
      </c>
      <c r="L15" s="17">
        <v>9.5</v>
      </c>
      <c r="M15" s="17">
        <v>12.8093100704652</v>
      </c>
      <c r="N15" s="17">
        <v>9.54514492794851</v>
      </c>
      <c r="O15" s="18">
        <v>12.1531462473805</v>
      </c>
      <c r="P15" s="19">
        <v>9.5</v>
      </c>
      <c r="S15" s="2"/>
    </row>
    <row r="16" spans="1:19" ht="12.75">
      <c r="A16" s="2"/>
      <c r="B16" s="16" t="s">
        <v>28</v>
      </c>
      <c r="C16" s="35">
        <f>1</f>
        <v>1</v>
      </c>
      <c r="D16" s="36">
        <f>1</f>
        <v>1</v>
      </c>
      <c r="E16" s="37">
        <f>199885751.77/1000</f>
        <v>199885.75177</v>
      </c>
      <c r="F16" s="37">
        <f>65740542.43/1000</f>
        <v>65740.54243</v>
      </c>
      <c r="G16" s="37">
        <f>201165528.77/1000</f>
        <v>201165.52877</v>
      </c>
      <c r="H16" s="37">
        <f>38904288.71/1000</f>
        <v>38904.28871</v>
      </c>
      <c r="I16" s="37">
        <f>200457793/1000</f>
        <v>200457.793</v>
      </c>
      <c r="J16" s="38">
        <f>46117473.1/1000</f>
        <v>46117.4731</v>
      </c>
      <c r="K16" s="17">
        <v>14.9879114064229</v>
      </c>
      <c r="L16" s="17">
        <v>6.35829364443685</v>
      </c>
      <c r="M16" s="17">
        <v>15.3983418353779</v>
      </c>
      <c r="N16" s="17">
        <v>6.78927322491074</v>
      </c>
      <c r="O16" s="18">
        <v>10.5035710260464</v>
      </c>
      <c r="P16" s="19">
        <v>7.19979369329323</v>
      </c>
      <c r="S16" s="2"/>
    </row>
    <row r="17" spans="1:19" ht="12" customHeight="1">
      <c r="A17" s="2"/>
      <c r="B17" s="16" t="s">
        <v>6</v>
      </c>
      <c r="C17" s="35">
        <f>0</f>
        <v>0</v>
      </c>
      <c r="D17" s="36">
        <f>0</f>
        <v>0</v>
      </c>
      <c r="E17" s="37">
        <f aca="true" t="shared" si="0" ref="E17:J21">0/1000</f>
        <v>0</v>
      </c>
      <c r="F17" s="37">
        <f t="shared" si="0"/>
        <v>0</v>
      </c>
      <c r="G17" s="37">
        <f t="shared" si="0"/>
        <v>0</v>
      </c>
      <c r="H17" s="37">
        <f t="shared" si="0"/>
        <v>0</v>
      </c>
      <c r="I17" s="37">
        <f t="shared" si="0"/>
        <v>0</v>
      </c>
      <c r="J17" s="38">
        <f t="shared" si="0"/>
        <v>0</v>
      </c>
      <c r="K17" s="17">
        <v>0</v>
      </c>
      <c r="L17" s="17">
        <v>0</v>
      </c>
      <c r="M17" s="17">
        <v>0</v>
      </c>
      <c r="N17" s="17">
        <v>0</v>
      </c>
      <c r="O17" s="18">
        <v>0</v>
      </c>
      <c r="P17" s="19">
        <v>0</v>
      </c>
      <c r="S17" s="2"/>
    </row>
    <row r="18" spans="1:19" ht="12.75">
      <c r="A18" s="2"/>
      <c r="B18" s="16" t="s">
        <v>25</v>
      </c>
      <c r="C18" s="35">
        <f>0</f>
        <v>0</v>
      </c>
      <c r="D18" s="36">
        <f>0</f>
        <v>0</v>
      </c>
      <c r="E18" s="37">
        <f t="shared" si="0"/>
        <v>0</v>
      </c>
      <c r="F18" s="37">
        <f t="shared" si="0"/>
        <v>0</v>
      </c>
      <c r="G18" s="37">
        <f t="shared" si="0"/>
        <v>0</v>
      </c>
      <c r="H18" s="37">
        <f t="shared" si="0"/>
        <v>0</v>
      </c>
      <c r="I18" s="37">
        <f t="shared" si="0"/>
        <v>0</v>
      </c>
      <c r="J18" s="38">
        <f t="shared" si="0"/>
        <v>0</v>
      </c>
      <c r="K18" s="17">
        <v>0</v>
      </c>
      <c r="L18" s="17">
        <v>0</v>
      </c>
      <c r="M18" s="17">
        <v>0</v>
      </c>
      <c r="N18" s="17">
        <v>0</v>
      </c>
      <c r="O18" s="18">
        <v>0</v>
      </c>
      <c r="P18" s="19">
        <v>0</v>
      </c>
      <c r="S18" s="2"/>
    </row>
    <row r="19" spans="1:19" ht="12.75">
      <c r="A19" s="2"/>
      <c r="B19" s="16" t="s">
        <v>24</v>
      </c>
      <c r="C19" s="35">
        <f>0</f>
        <v>0</v>
      </c>
      <c r="D19" s="36">
        <f>0</f>
        <v>0</v>
      </c>
      <c r="E19" s="37">
        <f t="shared" si="0"/>
        <v>0</v>
      </c>
      <c r="F19" s="37">
        <f t="shared" si="0"/>
        <v>0</v>
      </c>
      <c r="G19" s="37">
        <f t="shared" si="0"/>
        <v>0</v>
      </c>
      <c r="H19" s="37">
        <f t="shared" si="0"/>
        <v>0</v>
      </c>
      <c r="I19" s="37">
        <f t="shared" si="0"/>
        <v>0</v>
      </c>
      <c r="J19" s="38">
        <f t="shared" si="0"/>
        <v>0</v>
      </c>
      <c r="K19" s="17">
        <v>0</v>
      </c>
      <c r="L19" s="17">
        <v>0</v>
      </c>
      <c r="M19" s="17">
        <v>0</v>
      </c>
      <c r="N19" s="17">
        <v>0</v>
      </c>
      <c r="O19" s="18">
        <v>0</v>
      </c>
      <c r="P19" s="19">
        <v>0</v>
      </c>
      <c r="S19" s="2"/>
    </row>
    <row r="20" spans="1:19" ht="12.75">
      <c r="A20" s="2"/>
      <c r="B20" s="16" t="s">
        <v>41</v>
      </c>
      <c r="C20" s="35">
        <f>0</f>
        <v>0</v>
      </c>
      <c r="D20" s="36">
        <f>0</f>
        <v>0</v>
      </c>
      <c r="E20" s="37">
        <f t="shared" si="0"/>
        <v>0</v>
      </c>
      <c r="F20" s="37">
        <f t="shared" si="0"/>
        <v>0</v>
      </c>
      <c r="G20" s="37">
        <f t="shared" si="0"/>
        <v>0</v>
      </c>
      <c r="H20" s="37">
        <f t="shared" si="0"/>
        <v>0</v>
      </c>
      <c r="I20" s="37">
        <f t="shared" si="0"/>
        <v>0</v>
      </c>
      <c r="J20" s="38">
        <f t="shared" si="0"/>
        <v>0</v>
      </c>
      <c r="K20" s="17">
        <v>0</v>
      </c>
      <c r="L20" s="17">
        <v>0</v>
      </c>
      <c r="M20" s="17">
        <v>0</v>
      </c>
      <c r="N20" s="17">
        <v>0</v>
      </c>
      <c r="O20" s="18">
        <v>0</v>
      </c>
      <c r="P20" s="19">
        <v>0</v>
      </c>
      <c r="S20" s="2"/>
    </row>
    <row r="21" spans="1:19" ht="12.75">
      <c r="A21" s="2"/>
      <c r="B21" s="16" t="s">
        <v>42</v>
      </c>
      <c r="C21" s="35">
        <f>0</f>
        <v>0</v>
      </c>
      <c r="D21" s="36">
        <f>0</f>
        <v>0</v>
      </c>
      <c r="E21" s="37">
        <f t="shared" si="0"/>
        <v>0</v>
      </c>
      <c r="F21" s="37">
        <f t="shared" si="0"/>
        <v>0</v>
      </c>
      <c r="G21" s="37">
        <f t="shared" si="0"/>
        <v>0</v>
      </c>
      <c r="H21" s="37">
        <f t="shared" si="0"/>
        <v>0</v>
      </c>
      <c r="I21" s="37">
        <f t="shared" si="0"/>
        <v>0</v>
      </c>
      <c r="J21" s="38">
        <f t="shared" si="0"/>
        <v>0</v>
      </c>
      <c r="K21" s="17">
        <v>0</v>
      </c>
      <c r="L21" s="17">
        <v>0</v>
      </c>
      <c r="M21" s="17">
        <v>0</v>
      </c>
      <c r="N21" s="17">
        <v>0</v>
      </c>
      <c r="O21" s="18">
        <v>0</v>
      </c>
      <c r="P21" s="19">
        <v>0</v>
      </c>
      <c r="S21" s="2"/>
    </row>
    <row r="22" spans="1:19" ht="25.5">
      <c r="A22" s="2"/>
      <c r="B22" s="16" t="s">
        <v>29</v>
      </c>
      <c r="C22" s="35">
        <f>0</f>
        <v>0</v>
      </c>
      <c r="D22" s="36">
        <f>0</f>
        <v>0</v>
      </c>
      <c r="E22" s="37">
        <f>7899997/1000</f>
        <v>7899.997</v>
      </c>
      <c r="F22" s="37">
        <f>0/1000</f>
        <v>0</v>
      </c>
      <c r="G22" s="37">
        <f>7899999/1000</f>
        <v>7899.999</v>
      </c>
      <c r="H22" s="37">
        <f>0/1000</f>
        <v>0</v>
      </c>
      <c r="I22" s="37">
        <f>5776052/1000</f>
        <v>5776.052</v>
      </c>
      <c r="J22" s="38">
        <f>0/1000</f>
        <v>0</v>
      </c>
      <c r="K22" s="17">
        <v>13.4491395376479</v>
      </c>
      <c r="L22" s="17">
        <v>0</v>
      </c>
      <c r="M22" s="17">
        <v>13.4491394239417</v>
      </c>
      <c r="N22" s="17">
        <v>0</v>
      </c>
      <c r="O22" s="18">
        <v>10.0761246609276</v>
      </c>
      <c r="P22" s="19">
        <v>0</v>
      </c>
      <c r="S22" s="2"/>
    </row>
    <row r="23" spans="1:19" ht="12.75">
      <c r="A23" s="2"/>
      <c r="B23" s="16" t="s">
        <v>23</v>
      </c>
      <c r="C23" s="35">
        <f>0</f>
        <v>0</v>
      </c>
      <c r="D23" s="36">
        <f>1</f>
        <v>1</v>
      </c>
      <c r="E23" s="37">
        <f>198982395.3/1000</f>
        <v>198982.3953</v>
      </c>
      <c r="F23" s="37">
        <f>815196294.84/1000</f>
        <v>815196.29484</v>
      </c>
      <c r="G23" s="37">
        <f>199939635.55/1000</f>
        <v>199939.63555</v>
      </c>
      <c r="H23" s="37">
        <f>786669228.340001/1000</f>
        <v>786669.228340001</v>
      </c>
      <c r="I23" s="37">
        <f>223620722.91/1000</f>
        <v>223620.72290999998</v>
      </c>
      <c r="J23" s="38">
        <f>720658404.63/1000</f>
        <v>720658.40463</v>
      </c>
      <c r="K23" s="17">
        <v>12.5648583783658</v>
      </c>
      <c r="L23" s="17">
        <v>7.30777200586595</v>
      </c>
      <c r="M23" s="17">
        <v>12.3470850878271</v>
      </c>
      <c r="N23" s="17">
        <v>7.34629078178313</v>
      </c>
      <c r="O23" s="18">
        <v>10.8918318532347</v>
      </c>
      <c r="P23" s="19">
        <v>7.58118373848819</v>
      </c>
      <c r="S23" s="2"/>
    </row>
    <row r="24" spans="1:19" ht="12.75">
      <c r="A24" s="2"/>
      <c r="B24" s="16" t="s">
        <v>9</v>
      </c>
      <c r="C24" s="35">
        <f>19</f>
        <v>19</v>
      </c>
      <c r="D24" s="36">
        <f>10</f>
        <v>10</v>
      </c>
      <c r="E24" s="37">
        <f>1835937497.93/1000</f>
        <v>1835937.49793</v>
      </c>
      <c r="F24" s="37">
        <f>1401827225.84/1000</f>
        <v>1401827.22584</v>
      </c>
      <c r="G24" s="37">
        <f>1838415257.76/1000</f>
        <v>1838415.25776</v>
      </c>
      <c r="H24" s="37">
        <f>1346869463.01/1000</f>
        <v>1346869.46301</v>
      </c>
      <c r="I24" s="37">
        <f>2035874997.51/1000</f>
        <v>2035874.99751</v>
      </c>
      <c r="J24" s="38">
        <f>1348885437.21/1000</f>
        <v>1348885.4372100001</v>
      </c>
      <c r="K24" s="17">
        <v>12.3116131392245</v>
      </c>
      <c r="L24" s="17">
        <v>6.8475150237869</v>
      </c>
      <c r="M24" s="17">
        <v>12.1584567501001</v>
      </c>
      <c r="N24" s="17">
        <v>6.88058186701423</v>
      </c>
      <c r="O24" s="18">
        <v>10.4398875143353</v>
      </c>
      <c r="P24" s="19">
        <v>6.61482748885863</v>
      </c>
      <c r="S24" s="2"/>
    </row>
    <row r="25" spans="1:19" ht="12.75">
      <c r="A25" s="2"/>
      <c r="B25" s="16" t="s">
        <v>31</v>
      </c>
      <c r="C25" s="35">
        <f>0+0</f>
        <v>0</v>
      </c>
      <c r="D25" s="36">
        <f>0+0</f>
        <v>0</v>
      </c>
      <c r="E25" s="37">
        <f>(158273702.91+0)/1000</f>
        <v>158273.70291</v>
      </c>
      <c r="F25" s="37">
        <f>(125584375.25+0)/1000</f>
        <v>125584.37525</v>
      </c>
      <c r="G25" s="37">
        <f>(147319103.41+0)/1000</f>
        <v>147319.10341</v>
      </c>
      <c r="H25" s="37">
        <f>(120897398.43+0)/1000</f>
        <v>120897.39843</v>
      </c>
      <c r="I25" s="37">
        <f>(145274833+0)/1000</f>
        <v>145274.833</v>
      </c>
      <c r="J25" s="38">
        <f>(93934699.34+0)/1000</f>
        <v>93934.69934</v>
      </c>
      <c r="K25" s="17">
        <v>12.9755389055553</v>
      </c>
      <c r="L25" s="17">
        <v>6.01967080004246</v>
      </c>
      <c r="M25" s="17">
        <v>12.8186447166282</v>
      </c>
      <c r="N25" s="17">
        <v>6.05434453947993</v>
      </c>
      <c r="O25" s="18">
        <v>10.8590409668549</v>
      </c>
      <c r="P25" s="19">
        <v>7.8787937942848</v>
      </c>
      <c r="S25" s="2"/>
    </row>
    <row r="26" spans="1:19" ht="12.75">
      <c r="A26" s="2"/>
      <c r="B26" s="16" t="s">
        <v>34</v>
      </c>
      <c r="C26" s="35">
        <f>29</f>
        <v>29</v>
      </c>
      <c r="D26" s="36">
        <f>0</f>
        <v>0</v>
      </c>
      <c r="E26" s="37">
        <f>567955083.350001/1000</f>
        <v>567955.083350001</v>
      </c>
      <c r="F26" s="37">
        <f>0/1000</f>
        <v>0</v>
      </c>
      <c r="G26" s="37">
        <f>567914296.400001/1000</f>
        <v>567914.296400001</v>
      </c>
      <c r="H26" s="37">
        <f>0/1000</f>
        <v>0</v>
      </c>
      <c r="I26" s="37">
        <f>547358041.670001/1000</f>
        <v>547358.041670001</v>
      </c>
      <c r="J26" s="38">
        <f>0/1000</f>
        <v>0</v>
      </c>
      <c r="K26" s="17">
        <v>11.5281691881547</v>
      </c>
      <c r="L26" s="17">
        <v>0</v>
      </c>
      <c r="M26" s="17">
        <v>11.4806502942136</v>
      </c>
      <c r="N26" s="17">
        <v>0</v>
      </c>
      <c r="O26" s="18">
        <v>11.1330718839103</v>
      </c>
      <c r="P26" s="19">
        <v>0</v>
      </c>
      <c r="S26" s="2"/>
    </row>
    <row r="27" spans="1:19" ht="12.75">
      <c r="A27" s="2"/>
      <c r="B27" s="16" t="s">
        <v>15</v>
      </c>
      <c r="C27" s="35">
        <f>0</f>
        <v>0</v>
      </c>
      <c r="D27" s="36">
        <f>0</f>
        <v>0</v>
      </c>
      <c r="E27" s="37">
        <f>770000/1000</f>
        <v>770</v>
      </c>
      <c r="F27" s="37">
        <f>1852761.85/1000</f>
        <v>1852.76185</v>
      </c>
      <c r="G27" s="37">
        <f>270000/1000</f>
        <v>270</v>
      </c>
      <c r="H27" s="37">
        <f>1483480.5/1000</f>
        <v>1483.4805</v>
      </c>
      <c r="I27" s="37">
        <f>0/1000</f>
        <v>0</v>
      </c>
      <c r="J27" s="38">
        <f>0/1000</f>
        <v>0</v>
      </c>
      <c r="K27" s="17">
        <v>16</v>
      </c>
      <c r="L27" s="17">
        <v>6.75</v>
      </c>
      <c r="M27" s="17">
        <v>16.75</v>
      </c>
      <c r="N27" s="17">
        <v>7.75</v>
      </c>
      <c r="O27" s="18">
        <v>0</v>
      </c>
      <c r="P27" s="19">
        <v>0</v>
      </c>
      <c r="S27" s="2"/>
    </row>
    <row r="28" spans="1:19" ht="25.5">
      <c r="A28" s="2"/>
      <c r="B28" s="16" t="s">
        <v>18</v>
      </c>
      <c r="C28" s="35">
        <f>40+0</f>
        <v>40</v>
      </c>
      <c r="D28" s="36">
        <f>0+0</f>
        <v>0</v>
      </c>
      <c r="E28" s="37">
        <f>(259624243.72+0)/1000</f>
        <v>259624.24372</v>
      </c>
      <c r="F28" s="37">
        <f>(12083204.3+0)/1000</f>
        <v>12083.204300000001</v>
      </c>
      <c r="G28" s="37">
        <f>(260652517.77+0)/1000</f>
        <v>260652.51777</v>
      </c>
      <c r="H28" s="37">
        <f>(11783467.46+0)/1000</f>
        <v>11783.467460000002</v>
      </c>
      <c r="I28" s="37">
        <f>(233289510.13+0)/1000</f>
        <v>233289.51013</v>
      </c>
      <c r="J28" s="38">
        <f>(10899700.13+0)/1000</f>
        <v>10899.700130000001</v>
      </c>
      <c r="K28" s="17">
        <v>10.4093091296767</v>
      </c>
      <c r="L28" s="17">
        <v>6.04043616278175</v>
      </c>
      <c r="M28" s="17">
        <v>9.80678931617135</v>
      </c>
      <c r="N28" s="17">
        <v>6.04603622782865</v>
      </c>
      <c r="O28" s="18">
        <v>7.52504973196928</v>
      </c>
      <c r="P28" s="19">
        <v>5.54167365629168</v>
      </c>
      <c r="S28" s="2"/>
    </row>
    <row r="29" spans="1:19" ht="25.5">
      <c r="A29" s="2"/>
      <c r="B29" s="16" t="s">
        <v>0</v>
      </c>
      <c r="C29" s="35">
        <f>0</f>
        <v>0</v>
      </c>
      <c r="D29" s="36">
        <f>1</f>
        <v>1</v>
      </c>
      <c r="E29" s="37">
        <f>375029437.17/1000</f>
        <v>375029.43717</v>
      </c>
      <c r="F29" s="37">
        <f>475806308.41/1000</f>
        <v>475806.30841</v>
      </c>
      <c r="G29" s="37">
        <f>333555341.62/1000</f>
        <v>333555.34162</v>
      </c>
      <c r="H29" s="37">
        <f>456681377.07/1000</f>
        <v>456681.37707</v>
      </c>
      <c r="I29" s="37">
        <f>382872477.12/1000</f>
        <v>382872.47712</v>
      </c>
      <c r="J29" s="38">
        <f>431524231.25/1000</f>
        <v>431524.23125</v>
      </c>
      <c r="K29" s="17">
        <v>12.8778035295687</v>
      </c>
      <c r="L29" s="17">
        <v>6.31625945724711</v>
      </c>
      <c r="M29" s="17">
        <v>12.6054954657572</v>
      </c>
      <c r="N29" s="17">
        <v>6.36029373814772</v>
      </c>
      <c r="O29" s="18">
        <v>9.79704514155206</v>
      </c>
      <c r="P29" s="19">
        <v>6.33841195591262</v>
      </c>
      <c r="S29" s="2"/>
    </row>
    <row r="30" spans="1:19" ht="12.75">
      <c r="A30" s="2"/>
      <c r="B30" s="16" t="s">
        <v>7</v>
      </c>
      <c r="C30" s="39">
        <f>2</f>
        <v>2</v>
      </c>
      <c r="D30" s="40">
        <f>0</f>
        <v>0</v>
      </c>
      <c r="E30" s="41">
        <f>72150735.24/1000</f>
        <v>72150.73524</v>
      </c>
      <c r="F30" s="41">
        <f>44487295.47/1000</f>
        <v>44487.29547</v>
      </c>
      <c r="G30" s="41">
        <f>51538923.14/1000</f>
        <v>51538.92314</v>
      </c>
      <c r="H30" s="41">
        <f>43689425.29/1000</f>
        <v>43689.42529</v>
      </c>
      <c r="I30" s="41">
        <f>52802159.97/1000</f>
        <v>52802.15997</v>
      </c>
      <c r="J30" s="42">
        <f>48019685.98/1000</f>
        <v>48019.685979999995</v>
      </c>
      <c r="K30" s="20">
        <v>13.5753435929574</v>
      </c>
      <c r="L30" s="20">
        <v>6.5009717033311</v>
      </c>
      <c r="M30" s="20">
        <v>12.9765729477075</v>
      </c>
      <c r="N30" s="20">
        <v>6.50421353351018</v>
      </c>
      <c r="O30" s="21">
        <v>11.0282945879174</v>
      </c>
      <c r="P30" s="22">
        <v>6.69046246674769</v>
      </c>
      <c r="S30" s="2"/>
    </row>
    <row r="31" spans="1:19" ht="12.75">
      <c r="A31" s="2"/>
      <c r="B31" s="23" t="s">
        <v>11</v>
      </c>
      <c r="C31" s="43">
        <f>314+0</f>
        <v>314</v>
      </c>
      <c r="D31" s="44">
        <f>1+0</f>
        <v>1</v>
      </c>
      <c r="E31" s="45">
        <f>(181934061.17+137121799.65)/1000</f>
        <v>319055.86082</v>
      </c>
      <c r="F31" s="45">
        <f>(3533953.94+81652825.91)/1000</f>
        <v>85186.77984999999</v>
      </c>
      <c r="G31" s="45">
        <f>(177022844.48+138005648.93)/1000</f>
        <v>315028.49341</v>
      </c>
      <c r="H31" s="45">
        <f>(3008230.18+77439444.07)/1000</f>
        <v>80447.67425</v>
      </c>
      <c r="I31" s="45">
        <f>(201325484.27+143237429.59)/1000</f>
        <v>344562.91386000003</v>
      </c>
      <c r="J31" s="44">
        <f>(2907893.08+54912499.08)/1000</f>
        <v>57820.392159999996</v>
      </c>
      <c r="K31" s="24">
        <v>12.0920820787839</v>
      </c>
      <c r="L31" s="24">
        <v>6.77740683841567</v>
      </c>
      <c r="M31" s="24">
        <v>11.810603670785</v>
      </c>
      <c r="N31" s="24">
        <v>6.84602458064224</v>
      </c>
      <c r="O31" s="25">
        <v>10.4246173839807</v>
      </c>
      <c r="P31" s="26">
        <v>6.83583069327456</v>
      </c>
      <c r="S31" s="2"/>
    </row>
    <row r="32" spans="1:19" ht="12.75">
      <c r="A32" s="2"/>
      <c r="B32" s="2"/>
      <c r="S32" s="2"/>
    </row>
    <row r="33" spans="1:19" ht="12.75">
      <c r="A33" s="2"/>
      <c r="B33" s="27" t="s">
        <v>14</v>
      </c>
      <c r="S33" s="2"/>
    </row>
    <row r="34" spans="1:19" ht="27" customHeight="1">
      <c r="A34" s="2"/>
      <c r="B34" s="58" t="s">
        <v>1</v>
      </c>
      <c r="C34" s="58"/>
      <c r="D34" s="58"/>
      <c r="E34" s="58"/>
      <c r="F34" s="58"/>
      <c r="G34" s="58"/>
      <c r="H34" s="58"/>
      <c r="I34" s="58"/>
      <c r="J34" s="58"/>
      <c r="K34" s="58"/>
      <c r="L34" s="58"/>
      <c r="M34" s="58"/>
      <c r="N34" s="58"/>
      <c r="O34" s="58"/>
      <c r="P34" s="58"/>
      <c r="S34" s="2"/>
    </row>
    <row r="35" spans="1:19" ht="12.75">
      <c r="A35" s="2"/>
      <c r="B35" s="27" t="s">
        <v>40</v>
      </c>
      <c r="S35" s="2"/>
    </row>
    <row r="36" spans="1:19" ht="12.75">
      <c r="A36" s="2"/>
      <c r="B36" s="27" t="s">
        <v>13</v>
      </c>
      <c r="S36" s="2"/>
    </row>
    <row r="37" spans="1:19" ht="22.5" customHeight="1">
      <c r="A37" s="2"/>
      <c r="B37" s="58" t="s">
        <v>38</v>
      </c>
      <c r="C37" s="58"/>
      <c r="D37" s="58"/>
      <c r="E37" s="58"/>
      <c r="F37" s="58"/>
      <c r="G37" s="58"/>
      <c r="H37" s="58"/>
      <c r="I37" s="58"/>
      <c r="J37" s="58"/>
      <c r="K37" s="58"/>
      <c r="L37" s="58"/>
      <c r="M37" s="58"/>
      <c r="N37" s="58"/>
      <c r="O37" s="58"/>
      <c r="P37" s="58"/>
      <c r="S37" s="2"/>
    </row>
    <row r="38" spans="1:19" ht="12.75">
      <c r="A38" s="2"/>
      <c r="B38" s="27" t="s">
        <v>4</v>
      </c>
      <c r="S38" s="2"/>
    </row>
    <row r="39" spans="1:19" ht="12.75">
      <c r="A39" s="2"/>
      <c r="B39" s="2"/>
      <c r="S39" s="2"/>
    </row>
    <row r="40" spans="1:19" ht="12.75">
      <c r="A40" s="2"/>
      <c r="B40" s="2" t="s">
        <v>8</v>
      </c>
      <c r="S40" s="2"/>
    </row>
    <row r="41" spans="1:19" ht="12.75">
      <c r="A41" s="2"/>
      <c r="B41" s="2" t="s">
        <v>30</v>
      </c>
      <c r="E41" s="46" t="s">
        <v>43</v>
      </c>
      <c r="S41" s="2"/>
    </row>
    <row r="42" spans="1:19" ht="12.75">
      <c r="A42" s="2"/>
      <c r="B42" s="2"/>
      <c r="S42" s="2"/>
    </row>
    <row r="43" spans="1:19" ht="12.75">
      <c r="A43" s="2"/>
      <c r="B43" s="47" t="s">
        <v>44</v>
      </c>
      <c r="S43" s="2"/>
    </row>
    <row r="44" spans="1:19" ht="12.75">
      <c r="A44" s="2"/>
      <c r="B44" s="47" t="s">
        <v>45</v>
      </c>
      <c r="S44" s="2"/>
    </row>
  </sheetData>
  <sheetProtection/>
  <mergeCells count="17">
    <mergeCell ref="B3:P3"/>
    <mergeCell ref="B4:P4"/>
    <mergeCell ref="B6:P6"/>
    <mergeCell ref="B34:P34"/>
    <mergeCell ref="B37:P37"/>
    <mergeCell ref="B8:B10"/>
    <mergeCell ref="O9:P9"/>
    <mergeCell ref="C9:C10"/>
    <mergeCell ref="C8:D8"/>
    <mergeCell ref="E8:J8"/>
    <mergeCell ref="D9:D10"/>
    <mergeCell ref="E9:F9"/>
    <mergeCell ref="K9:L9"/>
    <mergeCell ref="G9:H9"/>
    <mergeCell ref="M9:N9"/>
    <mergeCell ref="I9:J9"/>
    <mergeCell ref="K8:P8"/>
  </mergeCells>
  <printOptions horizontalCentered="1"/>
  <pageMargins left="0" right="0" top="0.3937007874015748" bottom="0" header="0.5118110236220472" footer="0.5118110236220472"/>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1" sqref="A1"/>
    </sheetView>
  </sheetViews>
  <sheetFormatPr defaultColWidth="9.140625" defaultRowHeight="12.75"/>
  <cols>
    <col min="1" max="2" width="9.140625" style="0" customWidth="1"/>
    <col min="3" max="9" width="16.57421875" style="29" customWidth="1"/>
  </cols>
  <sheetData>
    <row r="1" spans="1:2" ht="12.75">
      <c r="A1" s="28"/>
      <c r="B1" s="28"/>
    </row>
    <row r="2" spans="1:2" ht="12.75">
      <c r="A2" s="28"/>
      <c r="B2" s="28"/>
    </row>
    <row r="3" spans="1:2" ht="12.75">
      <c r="A3" s="28"/>
      <c r="B3" s="28"/>
    </row>
    <row r="4" spans="1:2" ht="12.75">
      <c r="A4" s="28"/>
      <c r="B4" s="28"/>
    </row>
    <row r="5" spans="1:2" ht="12.75">
      <c r="A5" s="28"/>
      <c r="B5" s="28"/>
    </row>
    <row r="6" spans="1:2" ht="12.75">
      <c r="A6" s="28"/>
      <c r="B6" s="28"/>
    </row>
    <row r="7" spans="1:2" ht="12.75">
      <c r="A7" s="28"/>
      <c r="B7" s="28"/>
    </row>
    <row r="8" spans="1:2" ht="12.75">
      <c r="A8" s="28"/>
      <c r="B8" s="28"/>
    </row>
    <row r="9" spans="1:2" ht="12.75">
      <c r="A9" s="28"/>
      <c r="B9" s="28"/>
    </row>
    <row r="10" spans="1:2" ht="12.75">
      <c r="A10" s="28"/>
      <c r="B10" s="28"/>
    </row>
    <row r="11" spans="1:2" ht="12.75">
      <c r="A11" s="28"/>
      <c r="B11" s="28"/>
    </row>
    <row r="12" spans="1:9" ht="12.75">
      <c r="A12" s="28">
        <v>17</v>
      </c>
      <c r="B12" s="28">
        <v>2</v>
      </c>
      <c r="C12" s="29">
        <v>821476774.35</v>
      </c>
      <c r="D12" s="29">
        <v>264487097.4</v>
      </c>
      <c r="E12" s="29">
        <v>813730859.99</v>
      </c>
      <c r="F12" s="29">
        <v>250286720.77</v>
      </c>
      <c r="G12" s="29">
        <v>733112441.65</v>
      </c>
      <c r="H12" s="29">
        <v>169556114.19</v>
      </c>
      <c r="I12" s="29">
        <v>1095131363.8728</v>
      </c>
    </row>
    <row r="13" spans="1:9" ht="12.75">
      <c r="A13" s="28">
        <v>1</v>
      </c>
      <c r="B13" s="28">
        <v>3</v>
      </c>
      <c r="C13" s="29">
        <v>608901547.59</v>
      </c>
      <c r="D13" s="29">
        <v>846400661.65</v>
      </c>
      <c r="E13" s="29">
        <v>611265320.52</v>
      </c>
      <c r="F13" s="29">
        <v>805350510.14</v>
      </c>
      <c r="G13" s="29">
        <v>669988575.23</v>
      </c>
      <c r="H13" s="29">
        <v>702316171.1</v>
      </c>
      <c r="I13" s="29">
        <v>4642618845.8268</v>
      </c>
    </row>
    <row r="14" spans="1:9" ht="12.75">
      <c r="A14" s="28">
        <v>2</v>
      </c>
      <c r="B14" s="28">
        <v>0</v>
      </c>
      <c r="C14" s="29">
        <v>122782276.52</v>
      </c>
      <c r="D14" s="29">
        <v>9913233.27</v>
      </c>
      <c r="E14" s="29">
        <v>123279343.94</v>
      </c>
      <c r="F14" s="29">
        <v>8181252.92</v>
      </c>
      <c r="G14" s="29">
        <v>98026015.01</v>
      </c>
      <c r="H14" s="29">
        <v>99393.19</v>
      </c>
      <c r="I14" s="29">
        <v>329328.7575</v>
      </c>
    </row>
    <row r="15" spans="1:9" ht="12.75">
      <c r="A15" s="28">
        <v>1291</v>
      </c>
      <c r="B15" s="28">
        <v>0</v>
      </c>
      <c r="C15" s="29">
        <v>1520672903.18</v>
      </c>
      <c r="D15" s="29">
        <v>62490.62</v>
      </c>
      <c r="E15" s="29">
        <v>1520620445.17</v>
      </c>
      <c r="F15" s="29">
        <v>75578.59</v>
      </c>
      <c r="G15" s="29">
        <v>1443268811.37</v>
      </c>
      <c r="H15" s="29">
        <v>244698</v>
      </c>
      <c r="I15" s="29">
        <v>2324631</v>
      </c>
    </row>
    <row r="16" spans="1:9" ht="12.75">
      <c r="A16" s="28">
        <v>1</v>
      </c>
      <c r="B16" s="28">
        <v>1</v>
      </c>
      <c r="C16" s="29">
        <v>199885751.77</v>
      </c>
      <c r="D16" s="29">
        <v>65740542.43</v>
      </c>
      <c r="E16" s="29">
        <v>201165528.77</v>
      </c>
      <c r="F16" s="29">
        <v>38904288.71</v>
      </c>
      <c r="G16" s="29">
        <v>200457793</v>
      </c>
      <c r="H16" s="29">
        <v>46117473.1</v>
      </c>
      <c r="I16" s="29">
        <v>332036291.976</v>
      </c>
    </row>
    <row r="17" spans="1:9" ht="12.75">
      <c r="A17" s="28">
        <v>0</v>
      </c>
      <c r="B17" s="28">
        <v>0</v>
      </c>
      <c r="C17" s="29">
        <v>0</v>
      </c>
      <c r="D17" s="29">
        <v>0</v>
      </c>
      <c r="E17" s="29">
        <v>0</v>
      </c>
      <c r="F17" s="29">
        <v>0</v>
      </c>
      <c r="G17" s="29">
        <v>0</v>
      </c>
      <c r="H17" s="29">
        <v>0</v>
      </c>
      <c r="I17" s="29">
        <v>0</v>
      </c>
    </row>
    <row r="18" spans="1:9" ht="12.75">
      <c r="A18" s="28">
        <v>0</v>
      </c>
      <c r="B18" s="28">
        <v>0</v>
      </c>
      <c r="C18" s="29">
        <v>0</v>
      </c>
      <c r="D18" s="29">
        <v>0</v>
      </c>
      <c r="E18" s="29">
        <v>0</v>
      </c>
      <c r="F18" s="29">
        <v>0</v>
      </c>
      <c r="G18" s="29">
        <v>0</v>
      </c>
      <c r="H18" s="29">
        <v>0</v>
      </c>
      <c r="I18" s="29">
        <v>0</v>
      </c>
    </row>
    <row r="19" spans="1:9" ht="12.75">
      <c r="A19" s="28">
        <v>0</v>
      </c>
      <c r="B19" s="28">
        <v>0</v>
      </c>
      <c r="C19" s="29">
        <v>0</v>
      </c>
      <c r="D19" s="29">
        <v>0</v>
      </c>
      <c r="E19" s="29">
        <v>0</v>
      </c>
      <c r="F19" s="29">
        <v>0</v>
      </c>
      <c r="G19" s="29">
        <v>0</v>
      </c>
      <c r="H19" s="29">
        <v>0</v>
      </c>
      <c r="I19" s="29">
        <v>0</v>
      </c>
    </row>
    <row r="20" spans="1:9" ht="12.75">
      <c r="A20" s="28">
        <v>0</v>
      </c>
      <c r="B20" s="28">
        <v>0</v>
      </c>
      <c r="C20" s="29">
        <v>0</v>
      </c>
      <c r="D20" s="29">
        <v>0</v>
      </c>
      <c r="E20" s="29">
        <v>0</v>
      </c>
      <c r="F20" s="29">
        <v>0</v>
      </c>
      <c r="G20" s="29">
        <v>0</v>
      </c>
      <c r="H20" s="29">
        <v>0</v>
      </c>
      <c r="I20" s="29">
        <v>0</v>
      </c>
    </row>
    <row r="21" spans="1:9" ht="12.75">
      <c r="A21" s="28">
        <v>0</v>
      </c>
      <c r="B21" s="28">
        <v>0</v>
      </c>
      <c r="C21" s="29">
        <v>0</v>
      </c>
      <c r="D21" s="29">
        <v>0</v>
      </c>
      <c r="E21" s="29">
        <v>0</v>
      </c>
      <c r="F21" s="29">
        <v>0</v>
      </c>
      <c r="G21" s="29">
        <v>0</v>
      </c>
      <c r="H21" s="29">
        <v>0</v>
      </c>
      <c r="I21" s="29">
        <v>0</v>
      </c>
    </row>
    <row r="22" spans="1:9" ht="12.75">
      <c r="A22" s="28">
        <v>0</v>
      </c>
      <c r="B22" s="28">
        <v>0</v>
      </c>
      <c r="C22" s="29">
        <v>7899997</v>
      </c>
      <c r="D22" s="29">
        <v>0</v>
      </c>
      <c r="E22" s="29">
        <v>7899999</v>
      </c>
      <c r="F22" s="29">
        <v>0</v>
      </c>
      <c r="G22" s="29">
        <v>5776052</v>
      </c>
      <c r="H22" s="29">
        <v>0</v>
      </c>
      <c r="I22" s="29">
        <v>0</v>
      </c>
    </row>
    <row r="23" spans="1:9" ht="12.75">
      <c r="A23" s="28">
        <v>0</v>
      </c>
      <c r="B23" s="28">
        <v>1</v>
      </c>
      <c r="C23" s="29">
        <v>198982395.3</v>
      </c>
      <c r="D23" s="29">
        <v>815196294.84</v>
      </c>
      <c r="E23" s="29">
        <v>199939635.55</v>
      </c>
      <c r="F23" s="29">
        <v>786669228.340001</v>
      </c>
      <c r="G23" s="29">
        <v>223620722.91</v>
      </c>
      <c r="H23" s="29">
        <v>720658404.63</v>
      </c>
      <c r="I23" s="29">
        <v>5463443778.1858</v>
      </c>
    </row>
    <row r="24" spans="1:9" ht="12.75">
      <c r="A24" s="28">
        <v>19</v>
      </c>
      <c r="B24" s="28">
        <v>10</v>
      </c>
      <c r="C24" s="29">
        <v>1835937497.93</v>
      </c>
      <c r="D24" s="29">
        <v>1401827225.84</v>
      </c>
      <c r="E24" s="29">
        <v>1838415257.76</v>
      </c>
      <c r="F24" s="29">
        <v>1346869463.01</v>
      </c>
      <c r="G24" s="29">
        <v>2035874997.51</v>
      </c>
      <c r="H24" s="29">
        <v>1348885437.21</v>
      </c>
      <c r="I24" s="29">
        <v>8922644469.3778</v>
      </c>
    </row>
    <row r="25" spans="1:9" ht="12.75">
      <c r="A25" s="28">
        <v>0</v>
      </c>
      <c r="B25" s="28">
        <v>0</v>
      </c>
      <c r="C25" s="29">
        <v>158273702.91</v>
      </c>
      <c r="D25" s="29">
        <v>125584375.25</v>
      </c>
      <c r="E25" s="29">
        <v>147319103.41</v>
      </c>
      <c r="F25" s="29">
        <v>120897398.43</v>
      </c>
      <c r="G25" s="29">
        <v>145274833</v>
      </c>
      <c r="H25" s="29">
        <v>93934699.34</v>
      </c>
      <c r="I25" s="29">
        <v>740092126.228</v>
      </c>
    </row>
    <row r="26" spans="1:9" ht="12.75">
      <c r="A26" s="28">
        <v>29</v>
      </c>
      <c r="B26" s="28">
        <v>0</v>
      </c>
      <c r="C26" s="29">
        <v>567955083.350001</v>
      </c>
      <c r="D26" s="29">
        <v>0</v>
      </c>
      <c r="E26" s="29">
        <v>567914296.400001</v>
      </c>
      <c r="F26" s="29">
        <v>0</v>
      </c>
      <c r="G26" s="29">
        <v>547358041.670001</v>
      </c>
      <c r="H26" s="29">
        <v>0</v>
      </c>
      <c r="I26" s="29">
        <v>0</v>
      </c>
    </row>
    <row r="27" spans="1:9" ht="12.75">
      <c r="A27" s="28">
        <v>0</v>
      </c>
      <c r="B27" s="28">
        <v>0</v>
      </c>
      <c r="C27" s="29">
        <v>770000</v>
      </c>
      <c r="D27" s="29">
        <v>1852761.85</v>
      </c>
      <c r="E27" s="29">
        <v>270000</v>
      </c>
      <c r="F27" s="29">
        <v>1483480.5</v>
      </c>
      <c r="G27" s="29">
        <v>0</v>
      </c>
      <c r="H27" s="29">
        <v>0</v>
      </c>
      <c r="I27" s="29">
        <v>0</v>
      </c>
    </row>
    <row r="28" spans="1:9" ht="12.75">
      <c r="A28" s="28">
        <v>40</v>
      </c>
      <c r="B28" s="28">
        <v>0</v>
      </c>
      <c r="C28" s="29">
        <v>259624243.72</v>
      </c>
      <c r="D28" s="29">
        <v>12083204.3</v>
      </c>
      <c r="E28" s="29">
        <v>260652517.77</v>
      </c>
      <c r="F28" s="29">
        <v>11783467.46</v>
      </c>
      <c r="G28" s="29">
        <v>233289510.13</v>
      </c>
      <c r="H28" s="29">
        <v>10899700.13</v>
      </c>
      <c r="I28" s="29">
        <v>60402581.0719</v>
      </c>
    </row>
    <row r="29" spans="1:9" ht="12.75">
      <c r="A29" s="28">
        <v>0</v>
      </c>
      <c r="B29" s="28">
        <v>1</v>
      </c>
      <c r="C29" s="29">
        <v>375029437.17</v>
      </c>
      <c r="D29" s="29">
        <v>475806308.41</v>
      </c>
      <c r="E29" s="29">
        <v>333555341.62</v>
      </c>
      <c r="F29" s="29">
        <v>456681377.07</v>
      </c>
      <c r="G29" s="29">
        <v>382872477.12</v>
      </c>
      <c r="H29" s="29">
        <v>431524231.25</v>
      </c>
      <c r="I29" s="29">
        <v>2735178346.621</v>
      </c>
    </row>
    <row r="30" spans="1:9" ht="12.75">
      <c r="A30" s="28">
        <v>2</v>
      </c>
      <c r="B30" s="28">
        <v>0</v>
      </c>
      <c r="C30" s="29">
        <v>72150735.24</v>
      </c>
      <c r="D30" s="29">
        <v>44487295.47</v>
      </c>
      <c r="E30" s="29">
        <v>51538923.14</v>
      </c>
      <c r="F30" s="29">
        <v>43689425.29</v>
      </c>
      <c r="G30" s="29">
        <v>52802159.97</v>
      </c>
      <c r="H30" s="29">
        <v>48019685.98</v>
      </c>
      <c r="I30" s="29">
        <v>321273906.7142</v>
      </c>
    </row>
    <row r="31" spans="1:9" ht="12.75">
      <c r="A31" s="28">
        <v>314</v>
      </c>
      <c r="B31" s="28">
        <v>1</v>
      </c>
      <c r="C31" s="29">
        <v>319055860.82</v>
      </c>
      <c r="D31" s="29">
        <v>85186779.85</v>
      </c>
      <c r="E31" s="29">
        <v>315028493.41</v>
      </c>
      <c r="F31" s="29">
        <v>80447674.25</v>
      </c>
      <c r="G31" s="29">
        <v>344562913.86</v>
      </c>
      <c r="H31" s="29">
        <v>57820392.16</v>
      </c>
      <c r="I31" s="29">
        <v>395250411.4245</v>
      </c>
    </row>
  </sheetData>
  <sheetProtection/>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2015-09-17T07:33:49Z</cp:lastPrinted>
  <dcterms:modified xsi:type="dcterms:W3CDTF">2015-10-09T13:37:14Z</dcterms:modified>
  <cp:category/>
  <cp:version/>
  <cp:contentType/>
  <cp:contentStatus/>
</cp:coreProperties>
</file>